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표지" sheetId="1" state="visible" r:id="rId3"/>
    <sheet name="대시보드" sheetId="2" state="visible" r:id="rId4"/>
    <sheet name="1.가정" sheetId="3" state="visible" r:id="rId5"/>
    <sheet name="2.세대프로그램" sheetId="4" state="visible" r:id="rId6"/>
    <sheet name="3.사업비" sheetId="5" state="visible" r:id="rId7"/>
    <sheet name="4.매입대금" sheetId="6" state="visible" r:id="rId8"/>
    <sheet name="5.현금흐름" sheetId="7" state="visible" r:id="rId9"/>
    <sheet name="6.민감도" sheetId="8" state="visible" r:id="rId10"/>
    <sheet name="7.시나리오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8" authorId="0">
      <text>
        <r>
          <rPr>
            <sz val="10"/>
            <rFont val="Noto Sans CJK SC"/>
            <family val="2"/>
          </rPr>
          <t xml:space="preserve">근저당 </t>
        </r>
        <r>
          <rPr>
            <sz val="10"/>
            <rFont val="Arial"/>
            <family val="2"/>
          </rPr>
          <t xml:space="preserve">50% / </t>
        </r>
        <r>
          <rPr>
            <sz val="10"/>
            <rFont val="Noto Sans CJK SC"/>
            <family val="2"/>
          </rPr>
          <t xml:space="preserve">관리형 토지신탁 </t>
        </r>
        <r>
          <rPr>
            <sz val="10"/>
            <rFont val="Arial"/>
            <family val="2"/>
          </rPr>
          <t xml:space="preserve">60% / </t>
        </r>
        <r>
          <rPr>
            <sz val="10"/>
            <rFont val="Noto Sans CJK SC"/>
            <family val="2"/>
          </rPr>
          <t xml:space="preserve">신탁</t>
        </r>
        <r>
          <rPr>
            <sz val="10"/>
            <rFont val="Arial"/>
            <family val="2"/>
          </rPr>
          <t xml:space="preserve">+</t>
        </r>
        <r>
          <rPr>
            <sz val="10"/>
            <rFont val="Noto Sans CJK SC"/>
            <family val="2"/>
          </rPr>
          <t xml:space="preserve">조기약정 인센티브 최대 </t>
        </r>
        <r>
          <rPr>
            <sz val="10"/>
            <rFont val="Arial"/>
            <family val="2"/>
          </rPr>
          <t xml:space="preserve">80% (5</t>
        </r>
        <r>
          <rPr>
            <sz val="10"/>
            <rFont val="Noto Sans CJK SC"/>
            <family val="2"/>
          </rPr>
          <t xml:space="preserve">차 공고</t>
        </r>
        <r>
          <rPr>
            <sz val="10"/>
            <rFont val="Arial"/>
            <family val="2"/>
          </rPr>
          <t xml:space="preserve">)</t>
        </r>
      </text>
    </comment>
    <comment ref="B29" authorId="0">
      <text>
        <r>
          <rPr>
            <sz val="10"/>
            <rFont val="Noto Sans CJK SC"/>
            <family val="2"/>
          </rPr>
          <t xml:space="preserve">근저당 약 </t>
        </r>
        <r>
          <rPr>
            <sz val="10"/>
            <rFont val="Arial"/>
            <family val="2"/>
          </rPr>
          <t xml:space="preserve">50%(</t>
        </r>
        <r>
          <rPr>
            <sz val="10"/>
            <rFont val="Noto Sans CJK SC"/>
            <family val="2"/>
          </rPr>
          <t xml:space="preserve">토지분 한도</t>
        </r>
        <r>
          <rPr>
            <sz val="10"/>
            <rFont val="Arial"/>
            <family val="2"/>
          </rPr>
          <t xml:space="preserve">) / </t>
        </r>
        <r>
          <rPr>
            <sz val="10"/>
            <rFont val="Noto Sans CJK SC"/>
            <family val="2"/>
          </rPr>
          <t xml:space="preserve">신탁 </t>
        </r>
        <r>
          <rPr>
            <sz val="10"/>
            <rFont val="Arial"/>
            <family val="2"/>
          </rPr>
          <t xml:space="preserve">60% — </t>
        </r>
        <r>
          <rPr>
            <sz val="10"/>
            <rFont val="Noto Sans CJK SC"/>
            <family val="2"/>
          </rPr>
          <t xml:space="preserve">골조 완료</t>
        </r>
        <r>
          <rPr>
            <sz val="10"/>
            <rFont val="Arial"/>
            <family val="2"/>
          </rPr>
          <t xml:space="preserve">·2</t>
        </r>
        <r>
          <rPr>
            <sz val="10"/>
            <rFont val="Noto Sans CJK SC"/>
            <family val="2"/>
          </rPr>
          <t xml:space="preserve">단계 점검 시</t>
        </r>
      </text>
    </comment>
    <comment ref="B30" authorId="0">
      <text>
        <r>
          <rPr>
            <sz val="10"/>
            <rFont val="Noto Sans CJK SC"/>
            <family val="2"/>
          </rPr>
          <t xml:space="preserve">매매계약 시 최종매매금액의 </t>
        </r>
        <r>
          <rPr>
            <sz val="10"/>
            <rFont val="Arial"/>
            <family val="2"/>
          </rPr>
          <t xml:space="preserve">80%(</t>
        </r>
        <r>
          <rPr>
            <sz val="10"/>
            <rFont val="Noto Sans CJK SC"/>
            <family val="2"/>
          </rPr>
          <t xml:space="preserve">신탁 </t>
        </r>
        <r>
          <rPr>
            <sz val="10"/>
            <rFont val="Arial"/>
            <family val="2"/>
          </rPr>
          <t xml:space="preserve">90%), </t>
        </r>
        <r>
          <rPr>
            <sz val="10"/>
            <rFont val="Noto Sans CJK SC"/>
            <family val="2"/>
          </rPr>
          <t xml:space="preserve">기지급분 차감</t>
        </r>
      </text>
    </comment>
  </commentList>
</comments>
</file>

<file path=xl/sharedStrings.xml><?xml version="1.0" encoding="utf-8"?>
<sst xmlns="http://schemas.openxmlformats.org/spreadsheetml/2006/main" count="310" uniqueCount="248">
  <si>
    <r>
      <rPr>
        <b val="true"/>
        <sz val="20"/>
        <color rgb="FF12305A"/>
        <rFont val="Noto Sans CJK SC"/>
        <family val="2"/>
      </rPr>
      <t xml:space="preserve">수지분석 모델 — 프로젝트 대현</t>
    </r>
    <r>
      <rPr>
        <b val="true"/>
        <sz val="20"/>
        <color rgb="FF12305A"/>
        <rFont val="Arial"/>
        <family val="0"/>
        <charset val="1"/>
      </rPr>
      <t xml:space="preserve">(</t>
    </r>
    <r>
      <rPr>
        <b val="true"/>
        <sz val="20"/>
        <color rgb="FF12305A"/>
        <rFont val="Noto Sans CJK SC"/>
        <family val="2"/>
      </rPr>
      <t xml:space="preserve">가상</t>
    </r>
    <r>
      <rPr>
        <b val="true"/>
        <sz val="20"/>
        <color rgb="FF12305A"/>
        <rFont val="Arial"/>
        <family val="0"/>
        <charset val="1"/>
      </rPr>
      <t xml:space="preserve">)</t>
    </r>
  </si>
  <si>
    <r>
      <rPr>
        <sz val="11"/>
        <color rgb="FF5B6779"/>
        <rFont val="Arial"/>
        <family val="0"/>
        <charset val="1"/>
      </rPr>
      <t xml:space="preserve">LH </t>
    </r>
    <r>
      <rPr>
        <sz val="11"/>
        <color rgb="FF5B6779"/>
        <rFont val="Noto Sans CJK SC"/>
        <family val="2"/>
      </rPr>
      <t xml:space="preserve">신축매입약정 </t>
    </r>
    <r>
      <rPr>
        <sz val="11"/>
        <color rgb="FF5B6779"/>
        <rFont val="Arial"/>
        <family val="0"/>
        <charset val="1"/>
      </rPr>
      <t xml:space="preserve">· </t>
    </r>
    <r>
      <rPr>
        <sz val="11"/>
        <color rgb="FF5B6779"/>
        <rFont val="Noto Sans CJK SC"/>
        <family val="2"/>
      </rPr>
      <t xml:space="preserve">청년형</t>
    </r>
    <r>
      <rPr>
        <sz val="11"/>
        <color rgb="FF5B6779"/>
        <rFont val="Arial"/>
        <family val="0"/>
        <charset val="1"/>
      </rPr>
      <t xml:space="preserve">+</t>
    </r>
    <r>
      <rPr>
        <sz val="11"/>
        <color rgb="FF5B6779"/>
        <rFont val="Noto Sans CJK SC"/>
        <family val="2"/>
      </rPr>
      <t xml:space="preserve">신혼형 혼합 </t>
    </r>
    <r>
      <rPr>
        <sz val="11"/>
        <color rgb="FF5B6779"/>
        <rFont val="Arial"/>
        <family val="0"/>
        <charset val="1"/>
      </rPr>
      <t xml:space="preserve">· </t>
    </r>
    <r>
      <rPr>
        <sz val="11"/>
        <color rgb="FF5B6779"/>
        <rFont val="Noto Sans CJK SC"/>
        <family val="2"/>
      </rPr>
      <t xml:space="preserve">서울 서대문구 </t>
    </r>
    <r>
      <rPr>
        <sz val="11"/>
        <color rgb="FF5B6779"/>
        <rFont val="Arial"/>
        <family val="0"/>
        <charset val="1"/>
      </rPr>
      <t xml:space="preserve">· </t>
    </r>
    <r>
      <rPr>
        <sz val="11"/>
        <color rgb="FF5B6779"/>
        <rFont val="Noto Sans CJK SC"/>
        <family val="2"/>
      </rPr>
      <t xml:space="preserve">대지 </t>
    </r>
    <r>
      <rPr>
        <sz val="11"/>
        <color rgb="FF5B6779"/>
        <rFont val="Arial"/>
        <family val="0"/>
        <charset val="1"/>
      </rPr>
      <t xml:space="preserve">330</t>
    </r>
    <r>
      <rPr>
        <sz val="11"/>
        <color rgb="FF5B6779"/>
        <rFont val="Noto Sans CJK SC"/>
        <family val="2"/>
      </rPr>
      <t xml:space="preserve">㎡</t>
    </r>
  </si>
  <si>
    <r>
      <rPr>
        <i val="true"/>
        <sz val="9"/>
        <color rgb="FF8B96A8"/>
        <rFont val="Noto Sans CJK SC"/>
        <family val="2"/>
      </rPr>
      <t xml:space="preserve">기준일 </t>
    </r>
    <r>
      <rPr>
        <i val="true"/>
        <sz val="9"/>
        <color rgb="FF8B96A8"/>
        <rFont val="Arial"/>
        <family val="0"/>
        <charset val="1"/>
      </rPr>
      <t xml:space="preserve">2026.09.17 · </t>
    </r>
    <r>
      <rPr>
        <i val="true"/>
        <sz val="9"/>
        <color rgb="FF8B96A8"/>
        <rFont val="Noto Sans CJK SC"/>
        <family val="2"/>
      </rPr>
      <t xml:space="preserve">모두의 공공개발 </t>
    </r>
    <r>
      <rPr>
        <i val="true"/>
        <sz val="9"/>
        <color rgb="FF8B96A8"/>
        <rFont val="Arial"/>
        <family val="0"/>
        <charset val="1"/>
      </rPr>
      <t xml:space="preserve">· </t>
    </r>
    <r>
      <rPr>
        <i val="true"/>
        <sz val="9"/>
        <color rgb="FF8B96A8"/>
        <rFont val="Noto Sans CJK SC"/>
        <family val="2"/>
      </rPr>
      <t xml:space="preserve">샘플</t>
    </r>
    <r>
      <rPr>
        <i val="true"/>
        <sz val="9"/>
        <color rgb="FF8B96A8"/>
        <rFont val="Arial"/>
        <family val="0"/>
        <charset val="1"/>
      </rPr>
      <t xml:space="preserve">(</t>
    </r>
    <r>
      <rPr>
        <i val="true"/>
        <sz val="9"/>
        <color rgb="FF8B96A8"/>
        <rFont val="Noto Sans CJK SC"/>
        <family val="2"/>
      </rPr>
      <t xml:space="preserve">가상 사업</t>
    </r>
    <r>
      <rPr>
        <i val="true"/>
        <sz val="9"/>
        <color rgb="FF8B96A8"/>
        <rFont val="Arial"/>
        <family val="0"/>
        <charset val="1"/>
      </rPr>
      <t xml:space="preserve">, </t>
    </r>
    <r>
      <rPr>
        <i val="true"/>
        <sz val="9"/>
        <color rgb="FF8B96A8"/>
        <rFont val="Noto Sans CJK SC"/>
        <family val="2"/>
      </rPr>
      <t xml:space="preserve">실제 사업지 아님</t>
    </r>
    <r>
      <rPr>
        <i val="true"/>
        <sz val="9"/>
        <color rgb="FF8B96A8"/>
        <rFont val="Arial"/>
        <family val="0"/>
        <charset val="1"/>
      </rPr>
      <t xml:space="preserve">)</t>
    </r>
  </si>
  <si>
    <t xml:space="preserve">시트</t>
  </si>
  <si>
    <t xml:space="preserve">내용</t>
  </si>
  <si>
    <r>
      <rPr>
        <sz val="10"/>
        <color rgb="FF12305A"/>
        <rFont val="Arial"/>
        <family val="0"/>
        <charset val="1"/>
      </rPr>
      <t xml:space="preserve">1.</t>
    </r>
    <r>
      <rPr>
        <sz val="10"/>
        <color rgb="FF12305A"/>
        <rFont val="Noto Sans CJK SC"/>
        <family val="2"/>
      </rPr>
      <t xml:space="preserve">가정</t>
    </r>
  </si>
  <si>
    <t xml:space="preserve">모든 입력값 — 파란 글자만 바꾸면 전체가 재계산됩니다</t>
  </si>
  <si>
    <r>
      <rPr>
        <sz val="10"/>
        <color rgb="FF12305A"/>
        <rFont val="Arial"/>
        <family val="0"/>
        <charset val="1"/>
      </rPr>
      <t xml:space="preserve">2.</t>
    </r>
    <r>
      <rPr>
        <sz val="10"/>
        <color rgb="FF12305A"/>
        <rFont val="Noto Sans CJK SC"/>
        <family val="2"/>
      </rPr>
      <t xml:space="preserve">세대프로그램</t>
    </r>
  </si>
  <si>
    <r>
      <rPr>
        <sz val="10"/>
        <color rgb="FF000000"/>
        <rFont val="Noto Sans CJK SC"/>
        <family val="2"/>
      </rPr>
      <t xml:space="preserve">용적률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전용률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유형 구성으로 세대수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전용면적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주차 산정</t>
    </r>
  </si>
  <si>
    <r>
      <rPr>
        <sz val="10"/>
        <color rgb="FF12305A"/>
        <rFont val="Arial"/>
        <family val="0"/>
        <charset val="1"/>
      </rPr>
      <t xml:space="preserve">3.</t>
    </r>
    <r>
      <rPr>
        <sz val="10"/>
        <color rgb="FF12305A"/>
        <rFont val="Noto Sans CJK SC"/>
        <family val="2"/>
      </rPr>
      <t xml:space="preserve">사업비</t>
    </r>
  </si>
  <si>
    <r>
      <rPr>
        <sz val="10"/>
        <color rgb="FF000000"/>
        <rFont val="Noto Sans CJK SC"/>
        <family val="2"/>
      </rPr>
      <t xml:space="preserve">토지비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취득세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감면 반영</t>
    </r>
    <r>
      <rPr>
        <sz val="10"/>
        <color rgb="FF000000"/>
        <rFont val="Arial"/>
        <family val="0"/>
        <charset val="1"/>
      </rPr>
      <t xml:space="preserve">)·</t>
    </r>
    <r>
      <rPr>
        <sz val="10"/>
        <color rgb="FF000000"/>
        <rFont val="Noto Sans CJK SC"/>
        <family val="2"/>
      </rPr>
      <t xml:space="preserve">공사비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설계감리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금융비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컨설팅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예비비</t>
    </r>
  </si>
  <si>
    <r>
      <rPr>
        <sz val="10"/>
        <color rgb="FF12305A"/>
        <rFont val="Arial"/>
        <family val="0"/>
        <charset val="1"/>
      </rPr>
      <t xml:space="preserve">4.</t>
    </r>
    <r>
      <rPr>
        <sz val="10"/>
        <color rgb="FF12305A"/>
        <rFont val="Noto Sans CJK SC"/>
        <family val="2"/>
      </rPr>
      <t xml:space="preserve">매입대금</t>
    </r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</si>
  <si>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차 감정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매매예정금액</t>
    </r>
    <r>
      <rPr>
        <sz val="10"/>
        <color rgb="FF000000"/>
        <rFont val="Arial"/>
        <family val="0"/>
        <charset val="1"/>
      </rPr>
      <t xml:space="preserve">) → 2</t>
    </r>
    <r>
      <rPr>
        <sz val="10"/>
        <color rgb="FF000000"/>
        <rFont val="Noto Sans CJK SC"/>
        <family val="2"/>
      </rPr>
      <t xml:space="preserve">차 감정 시나리오</t>
    </r>
    <r>
      <rPr>
        <sz val="10"/>
        <color rgb="FF000000"/>
        <rFont val="Arial"/>
        <family val="0"/>
        <charset val="1"/>
      </rPr>
      <t xml:space="preserve">(±10% · </t>
    </r>
    <r>
      <rPr>
        <sz val="10"/>
        <color rgb="FF000000"/>
        <rFont val="Noto Sans CJK SC"/>
        <family val="2"/>
      </rPr>
      <t xml:space="preserve">규제지역 원가법 특례 최대 </t>
    </r>
    <r>
      <rPr>
        <sz val="10"/>
        <color rgb="FF000000"/>
        <rFont val="Arial"/>
        <family val="0"/>
        <charset val="1"/>
      </rPr>
      <t xml:space="preserve">126.5%)</t>
    </r>
  </si>
  <si>
    <r>
      <rPr>
        <sz val="10"/>
        <color rgb="FF12305A"/>
        <rFont val="Arial"/>
        <family val="0"/>
        <charset val="1"/>
      </rPr>
      <t xml:space="preserve">5.</t>
    </r>
    <r>
      <rPr>
        <sz val="10"/>
        <color rgb="FF12305A"/>
        <rFont val="Noto Sans CJK SC"/>
        <family val="2"/>
      </rPr>
      <t xml:space="preserve">현금흐름</t>
    </r>
  </si>
  <si>
    <r>
      <rPr>
        <sz val="10"/>
        <color rgb="FF000000"/>
        <rFont val="Noto Sans CJK SC"/>
        <family val="2"/>
      </rPr>
      <t xml:space="preserve">분기별 지출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수입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토지확보지원금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매입약정금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계약금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잔금</t>
    </r>
    <r>
      <rPr>
        <sz val="10"/>
        <color rgb="FF000000"/>
        <rFont val="Arial"/>
        <family val="0"/>
        <charset val="1"/>
      </rPr>
      <t xml:space="preserve">)·</t>
    </r>
    <r>
      <rPr>
        <sz val="10"/>
        <color rgb="FF000000"/>
        <rFont val="Noto Sans CJK SC"/>
        <family val="2"/>
      </rPr>
      <t xml:space="preserve">차입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이자 → 최대 자기자본 소요</t>
    </r>
  </si>
  <si>
    <r>
      <rPr>
        <sz val="10"/>
        <color rgb="FF12305A"/>
        <rFont val="Arial"/>
        <family val="0"/>
        <charset val="1"/>
      </rPr>
      <t xml:space="preserve">6.</t>
    </r>
    <r>
      <rPr>
        <sz val="10"/>
        <color rgb="FF12305A"/>
        <rFont val="Noto Sans CJK SC"/>
        <family val="2"/>
      </rPr>
      <t xml:space="preserve">민감도</t>
    </r>
  </si>
  <si>
    <r>
      <rPr>
        <sz val="10"/>
        <color rgb="FF000000"/>
        <rFont val="Noto Sans CJK SC"/>
        <family val="2"/>
      </rPr>
      <t xml:space="preserve">매입단가 변동 </t>
    </r>
    <r>
      <rPr>
        <sz val="10"/>
        <color rgb="FF000000"/>
        <rFont val="Arial"/>
        <family val="0"/>
        <charset val="1"/>
      </rPr>
      <t xml:space="preserve">× </t>
    </r>
    <r>
      <rPr>
        <sz val="10"/>
        <color rgb="FF000000"/>
        <rFont val="Noto Sans CJK SC"/>
        <family val="2"/>
      </rPr>
      <t xml:space="preserve">공사비 변동 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차원 표 — 순이익</t>
    </r>
  </si>
  <si>
    <r>
      <rPr>
        <sz val="10"/>
        <color rgb="FF12305A"/>
        <rFont val="Arial"/>
        <family val="0"/>
        <charset val="1"/>
      </rPr>
      <t xml:space="preserve">7.</t>
    </r>
    <r>
      <rPr>
        <sz val="10"/>
        <color rgb="FF12305A"/>
        <rFont val="Noto Sans CJK SC"/>
        <family val="2"/>
      </rPr>
      <t xml:space="preserve">시나리오</t>
    </r>
  </si>
  <si>
    <r>
      <rPr>
        <sz val="10"/>
        <color rgb="FF000000"/>
        <rFont val="Noto Sans CJK SC"/>
        <family val="2"/>
      </rPr>
      <t xml:space="preserve">보수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기본 </t>
    </r>
    <r>
      <rPr>
        <sz val="10"/>
        <color rgb="FF000000"/>
        <rFont val="Arial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규제지역 특례 최대 </t>
    </r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Noto Sans CJK SC"/>
        <family val="2"/>
      </rPr>
      <t xml:space="preserve">안 비교</t>
    </r>
  </si>
  <si>
    <t xml:space="preserve">대시보드</t>
  </si>
  <si>
    <t xml:space="preserve">핵심 지표와 차트</t>
  </si>
  <si>
    <t xml:space="preserve">범례</t>
  </si>
  <si>
    <r>
      <rPr>
        <sz val="10"/>
        <color rgb="FF0000FF"/>
        <rFont val="Noto Sans CJK SC"/>
        <family val="2"/>
      </rPr>
      <t xml:space="preserve">파란 글자 </t>
    </r>
    <r>
      <rPr>
        <sz val="10"/>
        <color rgb="FF0000FF"/>
        <rFont val="Arial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입력값</t>
    </r>
    <r>
      <rPr>
        <sz val="10"/>
        <color rgb="FF0000FF"/>
        <rFont val="Arial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바꾸는 칸</t>
    </r>
    <r>
      <rPr>
        <sz val="10"/>
        <color rgb="FF0000FF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</si>
  <si>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검은 글자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수식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건드리지 않음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</si>
  <si>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8000"/>
        <rFont val="Noto Sans CJK SC"/>
        <family val="2"/>
      </rPr>
      <t xml:space="preserve">초록 글자 </t>
    </r>
    <r>
      <rPr>
        <sz val="10"/>
        <color rgb="FF008000"/>
        <rFont val="Arial"/>
        <family val="0"/>
        <charset val="1"/>
      </rPr>
      <t xml:space="preserve">= </t>
    </r>
    <r>
      <rPr>
        <sz val="10"/>
        <color rgb="FF008000"/>
        <rFont val="Noto Sans CJK SC"/>
        <family val="2"/>
      </rPr>
      <t xml:space="preserve">다른 시트 참조</t>
    </r>
  </si>
  <si>
    <r>
      <rPr>
        <sz val="10"/>
        <color rgb="FF000000"/>
        <rFont val="Noto Sans CJK SC"/>
        <family val="2"/>
      </rPr>
      <t xml:space="preserve">노란 칸 </t>
    </r>
    <r>
      <rPr>
        <sz val="10"/>
        <color rgb="FF000000"/>
        <rFont val="Arial"/>
        <family val="0"/>
        <charset val="1"/>
      </rPr>
      <t xml:space="preserve">= </t>
    </r>
    <r>
      <rPr>
        <sz val="10"/>
        <color rgb="FF000000"/>
        <rFont val="Noto Sans CJK SC"/>
        <family val="2"/>
      </rPr>
      <t xml:space="preserve">핵심 가정</t>
    </r>
  </si>
  <si>
    <t xml:space="preserve">면책</t>
  </si>
  <si>
    <r>
      <rPr>
        <sz val="9"/>
        <color rgb="FF5B6779"/>
        <rFont val="Noto Sans CJK SC"/>
        <family val="2"/>
      </rPr>
      <t xml:space="preserve">이 모델은 공공 공개자료와 </t>
    </r>
    <r>
      <rPr>
        <sz val="9"/>
        <color rgb="FF5B6779"/>
        <rFont val="Arial"/>
        <family val="0"/>
        <charset val="1"/>
      </rPr>
      <t xml:space="preserve">LH </t>
    </r>
    <r>
      <rPr>
        <sz val="9"/>
        <color rgb="FF5B6779"/>
        <rFont val="Noto Sans CJK SC"/>
        <family val="2"/>
      </rPr>
      <t xml:space="preserve">서울 </t>
    </r>
    <r>
      <rPr>
        <sz val="9"/>
        <color rgb="FF5B6779"/>
        <rFont val="Arial"/>
        <family val="0"/>
        <charset val="1"/>
      </rPr>
      <t xml:space="preserve">2026-5</t>
    </r>
    <r>
      <rPr>
        <sz val="9"/>
        <color rgb="FF5B6779"/>
        <rFont val="Noto Sans CJK SC"/>
        <family val="2"/>
      </rPr>
      <t xml:space="preserve">차 공고</t>
    </r>
    <r>
      <rPr>
        <sz val="9"/>
        <color rgb="FF5B6779"/>
        <rFont val="Arial"/>
        <family val="0"/>
        <charset val="1"/>
      </rPr>
      <t xml:space="preserve">(2026.9.14)</t>
    </r>
    <r>
      <rPr>
        <sz val="9"/>
        <color rgb="FF5B6779"/>
        <rFont val="Noto Sans CJK SC"/>
        <family val="2"/>
      </rPr>
      <t xml:space="preserve">의 조건을 바탕으로 한 추정이며 매입가 확정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심의 결과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감정평가를 대신하지 않습니다</t>
    </r>
    <r>
      <rPr>
        <sz val="9"/>
        <color rgb="FF5B6779"/>
        <rFont val="Arial"/>
        <family val="0"/>
        <charset val="1"/>
      </rPr>
      <t xml:space="preserve">. </t>
    </r>
    <r>
      <rPr>
        <sz val="9"/>
        <color rgb="FF5B6779"/>
        <rFont val="Noto Sans CJK SC"/>
        <family val="2"/>
      </rPr>
      <t xml:space="preserve">감정평가는 </t>
    </r>
    <r>
      <rPr>
        <sz val="9"/>
        <color rgb="FF5B6779"/>
        <rFont val="Arial"/>
        <family val="0"/>
        <charset val="1"/>
      </rPr>
      <t xml:space="preserve">LH·</t>
    </r>
    <r>
      <rPr>
        <sz val="9"/>
        <color rgb="FF5B6779"/>
        <rFont val="Noto Sans CJK SC"/>
        <family val="2"/>
      </rPr>
      <t xml:space="preserve">감정평가사협회가 각 </t>
    </r>
    <r>
      <rPr>
        <sz val="9"/>
        <color rgb="FF5B6779"/>
        <rFont val="Arial"/>
        <family val="0"/>
        <charset val="1"/>
      </rPr>
      <t xml:space="preserve">1</t>
    </r>
    <r>
      <rPr>
        <sz val="9"/>
        <color rgb="FF5B6779"/>
        <rFont val="Noto Sans CJK SC"/>
        <family val="2"/>
      </rPr>
      <t xml:space="preserve">개씩 선정한 </t>
    </r>
    <r>
      <rPr>
        <sz val="9"/>
        <color rgb="FF5B6779"/>
        <rFont val="Arial"/>
        <family val="0"/>
        <charset val="1"/>
      </rPr>
      <t xml:space="preserve">2</t>
    </r>
    <r>
      <rPr>
        <sz val="9"/>
        <color rgb="FF5B6779"/>
        <rFont val="Noto Sans CJK SC"/>
        <family val="2"/>
      </rPr>
      <t xml:space="preserve">개 법인이 수행합니다</t>
    </r>
    <r>
      <rPr>
        <sz val="9"/>
        <color rgb="FF5B6779"/>
        <rFont val="Arial"/>
        <family val="0"/>
        <charset val="1"/>
      </rPr>
      <t xml:space="preserve">.</t>
    </r>
  </si>
  <si>
    <r>
      <rPr>
        <b val="true"/>
        <sz val="14"/>
        <color rgb="FF12305A"/>
        <rFont val="Noto Sans CJK SC"/>
        <family val="2"/>
      </rPr>
      <t xml:space="preserve">대시보드 — 프로젝트 대현</t>
    </r>
    <r>
      <rPr>
        <b val="true"/>
        <sz val="14"/>
        <color rgb="FF12305A"/>
        <rFont val="Arial"/>
        <family val="0"/>
        <charset val="1"/>
      </rPr>
      <t xml:space="preserve">(</t>
    </r>
    <r>
      <rPr>
        <b val="true"/>
        <sz val="14"/>
        <color rgb="FF12305A"/>
        <rFont val="Noto Sans CJK SC"/>
        <family val="2"/>
      </rPr>
      <t xml:space="preserve">가상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</si>
  <si>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Noto Sans CJK SC"/>
        <family val="2"/>
      </rPr>
      <t xml:space="preserve">핵심 지표는 전부 수식 </t>
    </r>
    <r>
      <rPr>
        <i val="true"/>
        <sz val="9"/>
        <color rgb="FF5B6779"/>
        <rFont val="Arial"/>
        <family val="0"/>
        <charset val="1"/>
      </rPr>
      <t xml:space="preserve">· </t>
    </r>
    <r>
      <rPr>
        <i val="true"/>
        <sz val="9"/>
        <color rgb="FF5B6779"/>
        <rFont val="Noto Sans CJK SC"/>
        <family val="2"/>
      </rPr>
      <t xml:space="preserve">가정 시트를 바꾸면 갱신</t>
    </r>
  </si>
  <si>
    <t xml:space="preserve">총 세대수</t>
  </si>
  <si>
    <t xml:space="preserve">사업 수익률</t>
  </si>
  <si>
    <r>
      <rPr>
        <b val="true"/>
        <sz val="10"/>
        <color rgb="FF000000"/>
        <rFont val="Noto Sans CJK SC"/>
        <family val="2"/>
      </rPr>
      <t xml:space="preserve">연면적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㎡</t>
    </r>
    <r>
      <rPr>
        <b val="true"/>
        <sz val="10"/>
        <color rgb="FF000000"/>
        <rFont val="Arial"/>
        <family val="0"/>
        <charset val="1"/>
      </rPr>
      <t xml:space="preserve">)</t>
    </r>
  </si>
  <si>
    <t xml:space="preserve">자기자본 수익률</t>
  </si>
  <si>
    <t xml:space="preserve">총사업비</t>
  </si>
  <si>
    <t xml:space="preserve">최대 자기자본 소요</t>
  </si>
  <si>
    <r>
      <rPr>
        <b val="true"/>
        <sz val="10"/>
        <color rgb="FF000000"/>
        <rFont val="Arial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차 감정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매매예정금액</t>
    </r>
    <r>
      <rPr>
        <b val="true"/>
        <sz val="10"/>
        <color rgb="FF000000"/>
        <rFont val="Arial"/>
        <family val="0"/>
        <charset val="1"/>
      </rPr>
      <t xml:space="preserve">)</t>
    </r>
  </si>
  <si>
    <t xml:space="preserve">토지확보지원금</t>
  </si>
  <si>
    <r>
      <rPr>
        <b val="true"/>
        <sz val="10"/>
        <color rgb="FF000000"/>
        <rFont val="Noto Sans CJK SC"/>
        <family val="2"/>
      </rPr>
      <t xml:space="preserve">최종 매매대금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적용</t>
    </r>
    <r>
      <rPr>
        <b val="true"/>
        <sz val="10"/>
        <color rgb="FF000000"/>
        <rFont val="Arial"/>
        <family val="0"/>
        <charset val="1"/>
      </rPr>
      <t xml:space="preserve">)</t>
    </r>
  </si>
  <si>
    <t xml:space="preserve">특례 최대 시 순이익</t>
  </si>
  <si>
    <t xml:space="preserve">순이익</t>
  </si>
  <si>
    <t xml:space="preserve">보수 시 순이익</t>
  </si>
  <si>
    <t xml:space="preserve">시나리오</t>
  </si>
  <si>
    <t xml:space="preserve">매매대금</t>
  </si>
  <si>
    <t xml:space="preserve">보수</t>
  </si>
  <si>
    <t xml:space="preserve">기본</t>
  </si>
  <si>
    <t xml:space="preserve">특례 최대</t>
  </si>
  <si>
    <t xml:space="preserve">분기</t>
  </si>
  <si>
    <t xml:space="preserve">누적 현금</t>
  </si>
  <si>
    <t xml:space="preserve">지출 합계</t>
  </si>
  <si>
    <t xml:space="preserve">수입 합계</t>
  </si>
  <si>
    <t xml:space="preserve">Q0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</si>
  <si>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</si>
  <si>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</si>
  <si>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</si>
  <si>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</si>
  <si>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</si>
  <si>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</si>
  <si>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</si>
  <si>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</si>
  <si>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</si>
  <si>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</si>
  <si>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</si>
  <si>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사업비 항목</t>
  </si>
  <si>
    <t xml:space="preserve">금액</t>
  </si>
  <si>
    <t xml:space="preserve">토지비</t>
  </si>
  <si>
    <r>
      <rPr>
        <sz val="11"/>
        <color theme="1"/>
        <rFont val="Noto Sans CJK SC"/>
        <family val="2"/>
      </rPr>
      <t xml:space="preserve">취득세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등기</t>
    </r>
  </si>
  <si>
    <t xml:space="preserve">공사비</t>
  </si>
  <si>
    <r>
      <rPr>
        <sz val="11"/>
        <color theme="1"/>
        <rFont val="Noto Sans CJK SC"/>
        <family val="2"/>
      </rPr>
      <t xml:space="preserve">설계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인허가</t>
    </r>
  </si>
  <si>
    <r>
      <rPr>
        <sz val="11"/>
        <color theme="1"/>
        <rFont val="Noto Sans CJK SC"/>
        <family val="2"/>
      </rPr>
      <t xml:space="preserve">금융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컨설팅</t>
    </r>
  </si>
  <si>
    <t xml:space="preserve">예비비</t>
  </si>
  <si>
    <r>
      <rPr>
        <b val="true"/>
        <sz val="14"/>
        <color rgb="FF12305A"/>
        <rFont val="Arial"/>
        <family val="0"/>
        <charset val="1"/>
      </rPr>
      <t xml:space="preserve">1. </t>
    </r>
    <r>
      <rPr>
        <b val="true"/>
        <sz val="14"/>
        <color rgb="FF12305A"/>
        <rFont val="Noto Sans CJK SC"/>
        <family val="2"/>
      </rPr>
      <t xml:space="preserve">가정 </t>
    </r>
    <r>
      <rPr>
        <b val="true"/>
        <sz val="14"/>
        <color rgb="FF12305A"/>
        <rFont val="Arial"/>
        <family val="0"/>
        <charset val="1"/>
      </rPr>
      <t xml:space="preserve">(</t>
    </r>
    <r>
      <rPr>
        <b val="true"/>
        <sz val="14"/>
        <color rgb="FF12305A"/>
        <rFont val="Noto Sans CJK SC"/>
        <family val="2"/>
      </rPr>
      <t xml:space="preserve">입력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</si>
  <si>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Noto Sans CJK SC"/>
        <family val="2"/>
      </rPr>
      <t xml:space="preserve">파란 글자만 수정 </t>
    </r>
    <r>
      <rPr>
        <i val="true"/>
        <sz val="9"/>
        <color rgb="FF5B6779"/>
        <rFont val="Arial"/>
        <family val="0"/>
        <charset val="1"/>
      </rPr>
      <t xml:space="preserve">· </t>
    </r>
    <r>
      <rPr>
        <i val="true"/>
        <sz val="9"/>
        <color rgb="FF5B6779"/>
        <rFont val="Noto Sans CJK SC"/>
        <family val="2"/>
      </rPr>
      <t xml:space="preserve">출처는 </t>
    </r>
    <r>
      <rPr>
        <i val="true"/>
        <sz val="9"/>
        <color rgb="FF5B6779"/>
        <rFont val="Arial"/>
        <family val="0"/>
        <charset val="1"/>
      </rPr>
      <t xml:space="preserve">D</t>
    </r>
    <r>
      <rPr>
        <i val="true"/>
        <sz val="9"/>
        <color rgb="FF5B6779"/>
        <rFont val="Noto Sans CJK SC"/>
        <family val="2"/>
      </rPr>
      <t xml:space="preserve">열</t>
    </r>
  </si>
  <si>
    <t xml:space="preserve">항목</t>
  </si>
  <si>
    <t xml:space="preserve">값</t>
  </si>
  <si>
    <t xml:space="preserve">단위</t>
  </si>
  <si>
    <r>
      <rPr>
        <b val="true"/>
        <sz val="10"/>
        <color rgb="FFFFFFFF"/>
        <rFont val="Noto Sans CJK SC"/>
        <family val="2"/>
      </rPr>
      <t xml:space="preserve">출처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비고</t>
    </r>
  </si>
  <si>
    <t xml:space="preserve">대지면적</t>
  </si>
  <si>
    <t xml:space="preserve">㎡</t>
  </si>
  <si>
    <r>
      <rPr>
        <sz val="9"/>
        <color rgb="FF5B6779"/>
        <rFont val="Noto Sans CJK SC"/>
        <family val="2"/>
      </rPr>
      <t xml:space="preserve">가상 사업지 </t>
    </r>
    <r>
      <rPr>
        <sz val="9"/>
        <color rgb="FF5B6779"/>
        <rFont val="Arial"/>
        <family val="0"/>
        <charset val="1"/>
      </rPr>
      <t xml:space="preserve">· </t>
    </r>
    <r>
      <rPr>
        <sz val="9"/>
        <color rgb="FF5B6779"/>
        <rFont val="Noto Sans CJK SC"/>
        <family val="2"/>
      </rPr>
      <t xml:space="preserve">토지대장 기준</t>
    </r>
  </si>
  <si>
    <t xml:space="preserve">용도지역</t>
  </si>
  <si>
    <r>
      <rPr>
        <sz val="10"/>
        <color rgb="FF0000FF"/>
        <rFont val="Noto Sans CJK SC"/>
        <family val="2"/>
      </rPr>
      <t xml:space="preserve">제</t>
    </r>
    <r>
      <rPr>
        <sz val="10"/>
        <color rgb="FF0000FF"/>
        <rFont val="Arial"/>
        <family val="0"/>
        <charset val="1"/>
      </rPr>
      <t xml:space="preserve">2</t>
    </r>
    <r>
      <rPr>
        <sz val="10"/>
        <color rgb="FF0000FF"/>
        <rFont val="Noto Sans CJK SC"/>
        <family val="2"/>
      </rPr>
      <t xml:space="preserve">종일반주거</t>
    </r>
  </si>
  <si>
    <t xml:space="preserve">서울시 조례</t>
  </si>
  <si>
    <t xml:space="preserve">법정 용적률</t>
  </si>
  <si>
    <t xml:space="preserve">배</t>
  </si>
  <si>
    <r>
      <rPr>
        <sz val="9"/>
        <color rgb="FF5B6779"/>
        <rFont val="Noto Sans CJK SC"/>
        <family val="2"/>
      </rPr>
      <t xml:space="preserve">서울시 도시계획조례 </t>
    </r>
    <r>
      <rPr>
        <sz val="9"/>
        <color rgb="FF5B6779"/>
        <rFont val="Arial"/>
        <family val="0"/>
        <charset val="1"/>
      </rPr>
      <t xml:space="preserve">2</t>
    </r>
    <r>
      <rPr>
        <sz val="9"/>
        <color rgb="FF5B6779"/>
        <rFont val="Noto Sans CJK SC"/>
        <family val="2"/>
      </rPr>
      <t xml:space="preserve">종일반 </t>
    </r>
    <r>
      <rPr>
        <sz val="9"/>
        <color rgb="FF5B6779"/>
        <rFont val="Arial"/>
        <family val="0"/>
        <charset val="1"/>
      </rPr>
      <t xml:space="preserve">200%</t>
    </r>
  </si>
  <si>
    <t xml:space="preserve">공공임대 용적률 완화</t>
  </si>
  <si>
    <r>
      <rPr>
        <sz val="9"/>
        <color rgb="FF5B6779"/>
        <rFont val="Noto Sans CJK SC"/>
        <family val="2"/>
      </rPr>
      <t xml:space="preserve">국토계획법 시행령 </t>
    </r>
    <r>
      <rPr>
        <sz val="9"/>
        <color rgb="FF5B6779"/>
        <rFont val="Arial"/>
        <family val="0"/>
        <charset val="1"/>
      </rPr>
      <t xml:space="preserve">§85③ — </t>
    </r>
    <r>
      <rPr>
        <sz val="9"/>
        <color rgb="FF5B6779"/>
        <rFont val="Noto Sans CJK SC"/>
        <family val="2"/>
      </rPr>
      <t xml:space="preserve">용도지역 용적률의 </t>
    </r>
    <r>
      <rPr>
        <sz val="9"/>
        <color rgb="FF5B6779"/>
        <rFont val="Arial"/>
        <family val="0"/>
        <charset val="1"/>
      </rPr>
      <t xml:space="preserve">120% </t>
    </r>
    <r>
      <rPr>
        <sz val="9"/>
        <color rgb="FF5B6779"/>
        <rFont val="Noto Sans CJK SC"/>
        <family val="2"/>
      </rPr>
      <t xml:space="preserve">이내</t>
    </r>
    <r>
      <rPr>
        <sz val="9"/>
        <color rgb="FF5B6779"/>
        <rFont val="Arial"/>
        <family val="0"/>
        <charset val="1"/>
      </rPr>
      <t xml:space="preserve">(</t>
    </r>
    <r>
      <rPr>
        <sz val="9"/>
        <color rgb="FF5B6779"/>
        <rFont val="Noto Sans CJK SC"/>
        <family val="2"/>
      </rPr>
      <t xml:space="preserve">조례</t>
    </r>
    <r>
      <rPr>
        <sz val="9"/>
        <color rgb="FF5B6779"/>
        <rFont val="Arial"/>
        <family val="0"/>
        <charset val="1"/>
      </rPr>
      <t xml:space="preserve">) · 5</t>
    </r>
    <r>
      <rPr>
        <sz val="9"/>
        <color rgb="FF5B6779"/>
        <rFont val="Noto Sans CJK SC"/>
        <family val="2"/>
      </rPr>
      <t xml:space="preserve">차 공고 안내</t>
    </r>
  </si>
  <si>
    <t xml:space="preserve">적용 용적률</t>
  </si>
  <si>
    <r>
      <rPr>
        <sz val="9"/>
        <color rgb="FF5B6779"/>
        <rFont val="Noto Sans CJK SC"/>
        <family val="2"/>
      </rPr>
      <t xml:space="preserve">법정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완화</t>
    </r>
  </si>
  <si>
    <r>
      <rPr>
        <sz val="10"/>
        <color rgb="FF000000"/>
        <rFont val="Noto Sans CJK SC"/>
        <family val="2"/>
      </rPr>
      <t xml:space="preserve">전용률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연면적 대비</t>
    </r>
    <r>
      <rPr>
        <sz val="10"/>
        <color rgb="FF000000"/>
        <rFont val="Arial"/>
        <family val="0"/>
        <charset val="1"/>
      </rPr>
      <t xml:space="preserve">)</t>
    </r>
  </si>
  <si>
    <t xml:space="preserve">다세대 표준 가정</t>
  </si>
  <si>
    <t xml:space="preserve">청년형 전용면적</t>
  </si>
  <si>
    <r>
      <rPr>
        <sz val="9"/>
        <color rgb="FF5B6779"/>
        <rFont val="Arial"/>
        <family val="0"/>
        <charset val="1"/>
      </rPr>
      <t xml:space="preserve">5</t>
    </r>
    <r>
      <rPr>
        <sz val="9"/>
        <color rgb="FF5B6779"/>
        <rFont val="Noto Sans CJK SC"/>
        <family val="2"/>
      </rPr>
      <t xml:space="preserve">차 공고</t>
    </r>
    <r>
      <rPr>
        <sz val="9"/>
        <color rgb="FF5B6779"/>
        <rFont val="Arial"/>
        <family val="0"/>
        <charset val="1"/>
      </rPr>
      <t xml:space="preserve">: 19~60</t>
    </r>
    <r>
      <rPr>
        <sz val="9"/>
        <color rgb="FF5B6779"/>
        <rFont val="Noto Sans CJK SC"/>
        <family val="2"/>
      </rPr>
      <t xml:space="preserve">㎡</t>
    </r>
    <r>
      <rPr>
        <sz val="9"/>
        <color rgb="FF5B6779"/>
        <rFont val="Arial"/>
        <family val="0"/>
        <charset val="1"/>
      </rPr>
      <t xml:space="preserve">, </t>
    </r>
    <r>
      <rPr>
        <sz val="9"/>
        <color rgb="FF5B6779"/>
        <rFont val="Noto Sans CJK SC"/>
        <family val="2"/>
      </rPr>
      <t xml:space="preserve">실사용 </t>
    </r>
    <r>
      <rPr>
        <sz val="9"/>
        <color rgb="FF5B6779"/>
        <rFont val="Arial"/>
        <family val="0"/>
        <charset val="1"/>
      </rPr>
      <t xml:space="preserve">22~25</t>
    </r>
    <r>
      <rPr>
        <sz val="9"/>
        <color rgb="FF5B6779"/>
        <rFont val="Noto Sans CJK SC"/>
        <family val="2"/>
      </rPr>
      <t xml:space="preserve">㎡ 권장</t>
    </r>
  </si>
  <si>
    <r>
      <rPr>
        <sz val="10"/>
        <color rgb="FF000000"/>
        <rFont val="Noto Sans CJK SC"/>
        <family val="2"/>
      </rPr>
      <t xml:space="preserve">신혼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신생아Ⅰ 전용면적</t>
    </r>
  </si>
  <si>
    <r>
      <rPr>
        <sz val="9"/>
        <color rgb="FF5B6779"/>
        <rFont val="Arial"/>
        <family val="0"/>
        <charset val="1"/>
      </rPr>
      <t xml:space="preserve">5</t>
    </r>
    <r>
      <rPr>
        <sz val="9"/>
        <color rgb="FF5B6779"/>
        <rFont val="Noto Sans CJK SC"/>
        <family val="2"/>
      </rPr>
      <t xml:space="preserve">차 공고</t>
    </r>
    <r>
      <rPr>
        <sz val="9"/>
        <color rgb="FF5B6779"/>
        <rFont val="Arial"/>
        <family val="0"/>
        <charset val="1"/>
      </rPr>
      <t xml:space="preserve">: 36~85</t>
    </r>
    <r>
      <rPr>
        <sz val="9"/>
        <color rgb="FF5B6779"/>
        <rFont val="Noto Sans CJK SC"/>
        <family val="2"/>
      </rPr>
      <t xml:space="preserve">㎡ 방 </t>
    </r>
    <r>
      <rPr>
        <sz val="9"/>
        <color rgb="FF5B6779"/>
        <rFont val="Arial"/>
        <family val="0"/>
        <charset val="1"/>
      </rPr>
      <t xml:space="preserve">2</t>
    </r>
    <r>
      <rPr>
        <sz val="9"/>
        <color rgb="FF5B6779"/>
        <rFont val="Noto Sans CJK SC"/>
        <family val="2"/>
      </rPr>
      <t xml:space="preserve">개 이상</t>
    </r>
  </si>
  <si>
    <t xml:space="preserve">청년형 구성 비율</t>
  </si>
  <si>
    <r>
      <rPr>
        <sz val="9"/>
        <color rgb="FF5B6779"/>
        <rFont val="Noto Sans CJK SC"/>
        <family val="2"/>
      </rPr>
      <t xml:space="preserve">서울 </t>
    </r>
    <r>
      <rPr>
        <sz val="9"/>
        <color rgb="FF5B6779"/>
        <rFont val="Arial"/>
        <family val="0"/>
        <charset val="1"/>
      </rPr>
      <t xml:space="preserve">5</t>
    </r>
    <r>
      <rPr>
        <sz val="9"/>
        <color rgb="FF5B6779"/>
        <rFont val="Noto Sans CJK SC"/>
        <family val="2"/>
      </rPr>
      <t xml:space="preserve">차 목표 청년 </t>
    </r>
    <r>
      <rPr>
        <sz val="9"/>
        <color rgb="FF5B6779"/>
        <rFont val="Arial"/>
        <family val="0"/>
        <charset val="1"/>
      </rPr>
      <t xml:space="preserve">46% — </t>
    </r>
    <r>
      <rPr>
        <sz val="9"/>
        <color rgb="FF5B6779"/>
        <rFont val="Noto Sans CJK SC"/>
        <family val="2"/>
      </rPr>
      <t xml:space="preserve">대학 인근 입지 가정</t>
    </r>
  </si>
  <si>
    <t xml:space="preserve">토지 취득가</t>
  </si>
  <si>
    <t xml:space="preserve">원</t>
  </si>
  <si>
    <r>
      <rPr>
        <sz val="9"/>
        <color rgb="FF5B6779"/>
        <rFont val="Noto Sans CJK SC"/>
        <family val="2"/>
      </rPr>
      <t xml:space="preserve">가상 </t>
    </r>
    <r>
      <rPr>
        <sz val="9"/>
        <color rgb="FF5B6779"/>
        <rFont val="Arial"/>
        <family val="0"/>
        <charset val="1"/>
      </rPr>
      <t xml:space="preserve">· </t>
    </r>
    <r>
      <rPr>
        <sz val="9"/>
        <color rgb="FF5B6779"/>
        <rFont val="Noto Sans CJK SC"/>
        <family val="2"/>
      </rPr>
      <t xml:space="preserve">실거래 기준 ㎡당 약 </t>
    </r>
    <r>
      <rPr>
        <sz val="9"/>
        <color rgb="FF5B6779"/>
        <rFont val="Arial"/>
        <family val="0"/>
        <charset val="1"/>
      </rPr>
      <t xml:space="preserve">394</t>
    </r>
    <r>
      <rPr>
        <sz val="9"/>
        <color rgb="FF5B6779"/>
        <rFont val="Noto Sans CJK SC"/>
        <family val="2"/>
      </rPr>
      <t xml:space="preserve">만</t>
    </r>
  </si>
  <si>
    <r>
      <rPr>
        <sz val="10"/>
        <color rgb="FF000000"/>
        <rFont val="Noto Sans CJK SC"/>
        <family val="2"/>
      </rPr>
      <t xml:space="preserve">토지 취득세율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합계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</si>
  <si>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Noto Sans CJK SC"/>
        <family val="2"/>
      </rPr>
      <t xml:space="preserve">취득세 </t>
    </r>
    <r>
      <rPr>
        <sz val="9"/>
        <color rgb="FF5B6779"/>
        <rFont val="Arial"/>
        <family val="0"/>
        <charset val="1"/>
      </rPr>
      <t xml:space="preserve">4% + </t>
    </r>
    <r>
      <rPr>
        <sz val="9"/>
        <color rgb="FF5B6779"/>
        <rFont val="Noto Sans CJK SC"/>
        <family val="2"/>
      </rPr>
      <t xml:space="preserve">지방교육세 </t>
    </r>
    <r>
      <rPr>
        <sz val="9"/>
        <color rgb="FF5B6779"/>
        <rFont val="Arial"/>
        <family val="0"/>
        <charset val="1"/>
      </rPr>
      <t xml:space="preserve">0.4% + </t>
    </r>
    <r>
      <rPr>
        <sz val="9"/>
        <color rgb="FF5B6779"/>
        <rFont val="Noto Sans CJK SC"/>
        <family val="2"/>
      </rPr>
      <t xml:space="preserve">농특세 </t>
    </r>
    <r>
      <rPr>
        <sz val="9"/>
        <color rgb="FF5B6779"/>
        <rFont val="Arial"/>
        <family val="0"/>
        <charset val="1"/>
      </rPr>
      <t xml:space="preserve">0.2%</t>
    </r>
  </si>
  <si>
    <t xml:space="preserve">매입약정 취득세 경감률</t>
  </si>
  <si>
    <r>
      <rPr>
        <sz val="9"/>
        <color rgb="FF5B6779"/>
        <rFont val="Noto Sans CJK SC"/>
        <family val="2"/>
      </rPr>
      <t xml:space="preserve">지특법 </t>
    </r>
    <r>
      <rPr>
        <sz val="9"/>
        <color rgb="FF5B6779"/>
        <rFont val="Arial"/>
        <family val="0"/>
        <charset val="1"/>
      </rPr>
      <t xml:space="preserve">§31</t>
    </r>
    <r>
      <rPr>
        <sz val="9"/>
        <color rgb="FF5B6779"/>
        <rFont val="Noto Sans CJK SC"/>
        <family val="2"/>
      </rPr>
      <t xml:space="preserve">의</t>
    </r>
    <r>
      <rPr>
        <sz val="9"/>
        <color rgb="FF5B6779"/>
        <rFont val="Arial"/>
        <family val="0"/>
        <charset val="1"/>
      </rPr>
      <t xml:space="preserve">5 — </t>
    </r>
    <r>
      <rPr>
        <sz val="9"/>
        <color rgb="FF5B6779"/>
        <rFont val="Noto Sans CJK SC"/>
        <family val="2"/>
      </rPr>
      <t xml:space="preserve">약정 체결자 </t>
    </r>
    <r>
      <rPr>
        <sz val="9"/>
        <color rgb="FF5B6779"/>
        <rFont val="Arial"/>
        <family val="0"/>
        <charset val="1"/>
      </rPr>
      <t xml:space="preserve">15% </t>
    </r>
    <r>
      <rPr>
        <sz val="9"/>
        <color rgb="FF5B6779"/>
        <rFont val="Noto Sans CJK SC"/>
        <family val="2"/>
      </rPr>
      <t xml:space="preserve">경감</t>
    </r>
    <r>
      <rPr>
        <sz val="9"/>
        <color rgb="FF5B6779"/>
        <rFont val="Arial"/>
        <family val="0"/>
        <charset val="1"/>
      </rPr>
      <t xml:space="preserve">('27</t>
    </r>
    <r>
      <rPr>
        <sz val="9"/>
        <color rgb="FF5B6779"/>
        <rFont val="Noto Sans CJK SC"/>
        <family val="2"/>
      </rPr>
      <t xml:space="preserve">년 </t>
    </r>
    <r>
      <rPr>
        <sz val="9"/>
        <color rgb="FF5B6779"/>
        <rFont val="Arial"/>
        <family val="0"/>
        <charset val="1"/>
      </rPr>
      <t xml:space="preserve">70% </t>
    </r>
    <r>
      <rPr>
        <sz val="9"/>
        <color rgb="FF5B6779"/>
        <rFont val="Noto Sans CJK SC"/>
        <family val="2"/>
      </rPr>
      <t xml:space="preserve">확대 예정</t>
    </r>
    <r>
      <rPr>
        <sz val="9"/>
        <color rgb="FF5B6779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</si>
  <si>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건축 공사비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연면적 ㎡당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</si>
  <si>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원</t>
    </r>
    <r>
      <rPr>
        <sz val="10"/>
        <color rgb="FF000000"/>
        <rFont val="Arial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㎡</t>
    </r>
  </si>
  <si>
    <r>
      <rPr>
        <sz val="9"/>
        <color rgb="FF5B6779"/>
        <rFont val="Arial"/>
        <family val="0"/>
        <charset val="1"/>
      </rPr>
      <t xml:space="preserve">2026 </t>
    </r>
    <r>
      <rPr>
        <sz val="9"/>
        <color rgb="FF5B6779"/>
        <rFont val="Noto Sans CJK SC"/>
        <family val="2"/>
      </rPr>
      <t xml:space="preserve">서울 다세대 평균 가정 </t>
    </r>
    <r>
      <rPr>
        <sz val="9"/>
        <color rgb="FF5B6779"/>
        <rFont val="Arial"/>
        <family val="0"/>
        <charset val="1"/>
      </rPr>
      <t xml:space="preserve">· </t>
    </r>
    <r>
      <rPr>
        <sz val="9"/>
        <color rgb="FF5B6779"/>
        <rFont val="Noto Sans CJK SC"/>
        <family val="2"/>
      </rPr>
      <t xml:space="preserve">견적으로 확정</t>
    </r>
  </si>
  <si>
    <r>
      <rPr>
        <sz val="10"/>
        <color rgb="FF000000"/>
        <rFont val="Noto Sans CJK SC"/>
        <family val="2"/>
      </rPr>
      <t xml:space="preserve">설계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감리비율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공사비 대비</t>
    </r>
    <r>
      <rPr>
        <sz val="10"/>
        <color rgb="FF000000"/>
        <rFont val="Arial"/>
        <family val="0"/>
        <charset val="1"/>
      </rPr>
      <t xml:space="preserve">)</t>
    </r>
  </si>
  <si>
    <t xml:space="preserve">가정</t>
  </si>
  <si>
    <r>
      <rPr>
        <sz val="10"/>
        <color rgb="FF000000"/>
        <rFont val="Noto Sans CJK SC"/>
        <family val="2"/>
      </rPr>
      <t xml:space="preserve">인허가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부담금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기타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공사비 대비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</si>
  <si>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예비비율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총사업비 대비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</si>
  <si>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차입금리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연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</si>
  <si>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Arial"/>
        <family val="0"/>
        <charset val="1"/>
      </rPr>
      <t xml:space="preserve">HUG </t>
    </r>
    <r>
      <rPr>
        <sz val="9"/>
        <color rgb="FF5B6779"/>
        <rFont val="Noto Sans CJK SC"/>
        <family val="2"/>
      </rPr>
      <t xml:space="preserve">도심주택 특약보증 연계 가정</t>
    </r>
  </si>
  <si>
    <r>
      <rPr>
        <sz val="10"/>
        <color rgb="FF000000"/>
        <rFont val="Noto Sans CJK SC"/>
        <family val="2"/>
      </rPr>
      <t xml:space="preserve">자기자본 비율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토지비 대비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</si>
  <si>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Noto Sans CJK SC"/>
        <family val="2"/>
      </rPr>
      <t xml:space="preserve">지원금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보증 후 잔여</t>
    </r>
  </si>
  <si>
    <r>
      <rPr>
        <sz val="10"/>
        <color rgb="FF000000"/>
        <rFont val="Noto Sans CJK SC"/>
        <family val="2"/>
      </rPr>
      <t xml:space="preserve">컨설팅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사전심의 비용</t>
    </r>
  </si>
  <si>
    <r>
      <rPr>
        <sz val="9"/>
        <color rgb="FF5B6779"/>
        <rFont val="Noto Sans CJK SC"/>
        <family val="2"/>
      </rPr>
      <t xml:space="preserve">선불 </t>
    </r>
    <r>
      <rPr>
        <sz val="9"/>
        <color rgb="FF5B6779"/>
        <rFont val="Arial"/>
        <family val="0"/>
        <charset val="1"/>
      </rPr>
      <t xml:space="preserve">577,500 + </t>
    </r>
    <r>
      <rPr>
        <sz val="9"/>
        <color rgb="FF5B6779"/>
        <rFont val="Noto Sans CJK SC"/>
        <family val="2"/>
      </rPr>
      <t xml:space="preserve">성공수당 </t>
    </r>
    <r>
      <rPr>
        <sz val="9"/>
        <color rgb="FF5B6779"/>
        <rFont val="Arial"/>
        <family val="0"/>
        <charset val="1"/>
      </rPr>
      <t xml:space="preserve">2,200,000 (</t>
    </r>
    <r>
      <rPr>
        <sz val="9"/>
        <color rgb="FF5B6779"/>
        <rFont val="Noto Sans CJK SC"/>
        <family val="2"/>
      </rPr>
      <t xml:space="preserve">부가세 포함</t>
    </r>
    <r>
      <rPr>
        <sz val="9"/>
        <color rgb="FF5B6779"/>
        <rFont val="Arial"/>
        <family val="0"/>
        <charset val="1"/>
      </rPr>
      <t xml:space="preserve">)</t>
    </r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</si>
  <si>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차 감정 예상 단가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연면적 ㎡당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</si>
  <si>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Noto Sans CJK SC"/>
        <family val="2"/>
      </rPr>
      <t xml:space="preserve">가상 </t>
    </r>
    <r>
      <rPr>
        <sz val="9"/>
        <color rgb="FF5B6779"/>
        <rFont val="Arial"/>
        <family val="0"/>
        <charset val="1"/>
      </rPr>
      <t xml:space="preserve">· </t>
    </r>
    <r>
      <rPr>
        <sz val="9"/>
        <color rgb="FF5B6779"/>
        <rFont val="Noto Sans CJK SC"/>
        <family val="2"/>
      </rPr>
      <t xml:space="preserve">인근 매입 사례 기준 — 실제는 </t>
    </r>
    <r>
      <rPr>
        <sz val="9"/>
        <color rgb="FF5B6779"/>
        <rFont val="Arial"/>
        <family val="0"/>
        <charset val="1"/>
      </rPr>
      <t xml:space="preserve">2</t>
    </r>
    <r>
      <rPr>
        <sz val="9"/>
        <color rgb="FF5B6779"/>
        <rFont val="Noto Sans CJK SC"/>
        <family val="2"/>
      </rPr>
      <t xml:space="preserve">개 법인 산술평균</t>
    </r>
  </si>
  <si>
    <r>
      <rPr>
        <sz val="10"/>
        <color rgb="FF000000"/>
        <rFont val="Noto Sans CJK SC"/>
        <family val="2"/>
      </rPr>
      <t xml:space="preserve">토지분 비중</t>
    </r>
    <r>
      <rPr>
        <sz val="10"/>
        <color rgb="FF000000"/>
        <rFont val="Arial"/>
        <family val="0"/>
        <charset val="1"/>
      </rPr>
      <t xml:space="preserve">(1</t>
    </r>
    <r>
      <rPr>
        <sz val="10"/>
        <color rgb="FF000000"/>
        <rFont val="Noto Sans CJK SC"/>
        <family val="2"/>
      </rPr>
      <t xml:space="preserve">차 감정 중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</si>
  <si>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 변동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기본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</si>
  <si>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Noto Sans CJK SC"/>
        <family val="2"/>
      </rPr>
      <t xml:space="preserve">매매예정금액 대비 </t>
    </r>
    <r>
      <rPr>
        <sz val="9"/>
        <color rgb="FF5B6779"/>
        <rFont val="Arial"/>
        <family val="0"/>
        <charset val="1"/>
      </rPr>
      <t xml:space="preserve">±10% </t>
    </r>
    <r>
      <rPr>
        <sz val="9"/>
        <color rgb="FF5B6779"/>
        <rFont val="Noto Sans CJK SC"/>
        <family val="2"/>
      </rPr>
      <t xml:space="preserve">범위 내 </t>
    </r>
    <r>
      <rPr>
        <sz val="9"/>
        <color rgb="FF5B6779"/>
        <rFont val="Arial"/>
        <family val="0"/>
        <charset val="1"/>
      </rPr>
      <t xml:space="preserve">· </t>
    </r>
    <r>
      <rPr>
        <sz val="9"/>
        <color rgb="FF5B6779"/>
        <rFont val="Noto Sans CJK SC"/>
        <family val="2"/>
      </rPr>
      <t xml:space="preserve">기본 </t>
    </r>
    <r>
      <rPr>
        <sz val="9"/>
        <color rgb="FF5B6779"/>
        <rFont val="Arial"/>
        <family val="0"/>
        <charset val="1"/>
      </rPr>
      <t xml:space="preserve">0%</t>
    </r>
  </si>
  <si>
    <t xml:space="preserve">규제지역 원가법 특례 적용</t>
  </si>
  <si>
    <t xml:space="preserve">Y</t>
  </si>
  <si>
    <t xml:space="preserve">Y/N</t>
  </si>
  <si>
    <r>
      <rPr>
        <sz val="9"/>
        <color rgb="FF5B6779"/>
        <rFont val="Noto Sans CJK SC"/>
        <family val="2"/>
      </rPr>
      <t xml:space="preserve">수도권 규제지역 </t>
    </r>
    <r>
      <rPr>
        <sz val="9"/>
        <color rgb="FF5B6779"/>
        <rFont val="Arial"/>
        <family val="0"/>
        <charset val="1"/>
      </rPr>
      <t xml:space="preserve">· '26 </t>
    </r>
    <r>
      <rPr>
        <sz val="9"/>
        <color rgb="FF5B6779"/>
        <rFont val="Noto Sans CJK SC"/>
        <family val="2"/>
      </rPr>
      <t xml:space="preserve">접수 </t>
    </r>
    <r>
      <rPr>
        <sz val="9"/>
        <color rgb="FF5B6779"/>
        <rFont val="Arial"/>
        <family val="0"/>
        <charset val="1"/>
      </rPr>
      <t xml:space="preserve">· '27 </t>
    </r>
    <r>
      <rPr>
        <sz val="9"/>
        <color rgb="FF5B6779"/>
        <rFont val="Noto Sans CJK SC"/>
        <family val="2"/>
      </rPr>
      <t xml:space="preserve">이전 착공 시 최대 </t>
    </r>
    <r>
      <rPr>
        <sz val="9"/>
        <color rgb="FF5B6779"/>
        <rFont val="Arial"/>
        <family val="0"/>
        <charset val="1"/>
      </rPr>
      <t xml:space="preserve">+15%</t>
    </r>
  </si>
  <si>
    <t xml:space="preserve">토지확보지원금 방식</t>
  </si>
  <si>
    <t xml:space="preserve">신탁</t>
  </si>
  <si>
    <r>
      <rPr>
        <sz val="9"/>
        <color rgb="FF5B6779"/>
        <rFont val="Noto Sans CJK SC"/>
        <family val="2"/>
      </rPr>
      <t xml:space="preserve">근저당 </t>
    </r>
    <r>
      <rPr>
        <sz val="9"/>
        <color rgb="FF5B6779"/>
        <rFont val="Arial"/>
        <family val="0"/>
        <charset val="1"/>
      </rPr>
      <t xml:space="preserve">50% / </t>
    </r>
    <r>
      <rPr>
        <sz val="9"/>
        <color rgb="FF5B6779"/>
        <rFont val="Noto Sans CJK SC"/>
        <family val="2"/>
      </rPr>
      <t xml:space="preserve">신탁 </t>
    </r>
    <r>
      <rPr>
        <sz val="9"/>
        <color rgb="FF5B6779"/>
        <rFont val="Arial"/>
        <family val="0"/>
        <charset val="1"/>
      </rPr>
      <t xml:space="preserve">60% / </t>
    </r>
    <r>
      <rPr>
        <sz val="9"/>
        <color rgb="FF5B6779"/>
        <rFont val="Noto Sans CJK SC"/>
        <family val="2"/>
      </rPr>
      <t xml:space="preserve">신탁</t>
    </r>
    <r>
      <rPr>
        <sz val="9"/>
        <color rgb="FF5B6779"/>
        <rFont val="Arial"/>
        <family val="0"/>
        <charset val="1"/>
      </rPr>
      <t xml:space="preserve">+</t>
    </r>
    <r>
      <rPr>
        <sz val="9"/>
        <color rgb="FF5B6779"/>
        <rFont val="Noto Sans CJK SC"/>
        <family val="2"/>
      </rPr>
      <t xml:space="preserve">조기약정 </t>
    </r>
    <r>
      <rPr>
        <sz val="9"/>
        <color rgb="FF5B6779"/>
        <rFont val="Arial"/>
        <family val="0"/>
        <charset val="1"/>
      </rPr>
      <t xml:space="preserve">80%</t>
    </r>
  </si>
  <si>
    <t xml:space="preserve">조기약정 인센티브 달성</t>
  </si>
  <si>
    <r>
      <rPr>
        <sz val="9"/>
        <color rgb="FF5B6779"/>
        <rFont val="Noto Sans CJK SC"/>
        <family val="2"/>
      </rPr>
      <t xml:space="preserve">심의 통과 후 </t>
    </r>
    <r>
      <rPr>
        <sz val="9"/>
        <color rgb="FF5B6779"/>
        <rFont val="Arial"/>
        <family val="0"/>
        <charset val="1"/>
      </rPr>
      <t xml:space="preserve">30</t>
    </r>
    <r>
      <rPr>
        <sz val="9"/>
        <color rgb="FF5B6779"/>
        <rFont val="Noto Sans CJK SC"/>
        <family val="2"/>
      </rPr>
      <t xml:space="preserve">일 내 도면협의 </t>
    </r>
    <r>
      <rPr>
        <sz val="9"/>
        <color rgb="FF5B6779"/>
        <rFont val="Arial"/>
        <family val="0"/>
        <charset val="1"/>
      </rPr>
      <t xml:space="preserve">+ </t>
    </r>
    <r>
      <rPr>
        <sz val="9"/>
        <color rgb="FF5B6779"/>
        <rFont val="Noto Sans CJK SC"/>
        <family val="2"/>
      </rPr>
      <t xml:space="preserve">통지 후 </t>
    </r>
    <r>
      <rPr>
        <sz val="9"/>
        <color rgb="FF5B6779"/>
        <rFont val="Arial"/>
        <family val="0"/>
        <charset val="1"/>
      </rPr>
      <t xml:space="preserve">10</t>
    </r>
    <r>
      <rPr>
        <sz val="9"/>
        <color rgb="FF5B6779"/>
        <rFont val="Noto Sans CJK SC"/>
        <family val="2"/>
      </rPr>
      <t xml:space="preserve">일 내 약정 </t>
    </r>
    <r>
      <rPr>
        <sz val="9"/>
        <color rgb="FF5B6779"/>
        <rFont val="Arial"/>
        <family val="0"/>
        <charset val="1"/>
      </rPr>
      <t xml:space="preserve">= +20%p</t>
    </r>
  </si>
  <si>
    <t xml:space="preserve">공사기간</t>
  </si>
  <si>
    <t xml:space="preserve">개월</t>
  </si>
  <si>
    <r>
      <rPr>
        <sz val="9"/>
        <color rgb="FF5B6779"/>
        <rFont val="Noto Sans CJK SC"/>
        <family val="2"/>
      </rPr>
      <t xml:space="preserve">약정→준공 약 </t>
    </r>
    <r>
      <rPr>
        <sz val="9"/>
        <color rgb="FF5B6779"/>
        <rFont val="Arial"/>
        <family val="0"/>
        <charset val="1"/>
      </rPr>
      <t xml:space="preserve">1.5</t>
    </r>
    <r>
      <rPr>
        <sz val="9"/>
        <color rgb="FF5B6779"/>
        <rFont val="Noto Sans CJK SC"/>
        <family val="2"/>
      </rPr>
      <t xml:space="preserve">년</t>
    </r>
  </si>
  <si>
    <t xml:space="preserve">준공 지연</t>
  </si>
  <si>
    <t xml:space="preserve">민감도용</t>
  </si>
  <si>
    <r>
      <rPr>
        <b val="true"/>
        <sz val="14"/>
        <color rgb="FF12305A"/>
        <rFont val="Arial"/>
        <family val="0"/>
        <charset val="1"/>
      </rPr>
      <t xml:space="preserve">2. </t>
    </r>
    <r>
      <rPr>
        <b val="true"/>
        <sz val="14"/>
        <color rgb="FF12305A"/>
        <rFont val="Noto Sans CJK SC"/>
        <family val="2"/>
      </rPr>
      <t xml:space="preserve">세대 프로그램</t>
    </r>
  </si>
  <si>
    <r>
      <rPr>
        <i val="true"/>
        <sz val="9"/>
        <color rgb="FF5B6779"/>
        <rFont val="Noto Sans CJK SC"/>
        <family val="2"/>
      </rPr>
      <t xml:space="preserve">용적률</t>
    </r>
    <r>
      <rPr>
        <i val="true"/>
        <sz val="9"/>
        <color rgb="FF5B6779"/>
        <rFont val="Arial"/>
        <family val="0"/>
        <charset val="1"/>
      </rPr>
      <t xml:space="preserve">·</t>
    </r>
    <r>
      <rPr>
        <i val="true"/>
        <sz val="9"/>
        <color rgb="FF5B6779"/>
        <rFont val="Noto Sans CJK SC"/>
        <family val="2"/>
      </rPr>
      <t xml:space="preserve">전용률</t>
    </r>
    <r>
      <rPr>
        <i val="true"/>
        <sz val="9"/>
        <color rgb="FF5B6779"/>
        <rFont val="Arial"/>
        <family val="0"/>
        <charset val="1"/>
      </rPr>
      <t xml:space="preserve">·</t>
    </r>
    <r>
      <rPr>
        <i val="true"/>
        <sz val="9"/>
        <color rgb="FF5B6779"/>
        <rFont val="Noto Sans CJK SC"/>
        <family val="2"/>
      </rPr>
      <t xml:space="preserve">유형 구성 → 세대수</t>
    </r>
  </si>
  <si>
    <t xml:space="preserve">산식</t>
  </si>
  <si>
    <r>
      <rPr>
        <sz val="10"/>
        <color rgb="FF000000"/>
        <rFont val="Noto Sans CJK SC"/>
        <family val="2"/>
      </rPr>
      <t xml:space="preserve">연면적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지상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</si>
  <si>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Noto Sans CJK SC"/>
        <family val="2"/>
      </rPr>
      <t xml:space="preserve">대지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적용 용적률</t>
    </r>
  </si>
  <si>
    <t xml:space="preserve">전용면적 합계</t>
  </si>
  <si>
    <r>
      <rPr>
        <sz val="9"/>
        <color rgb="FF5B6779"/>
        <rFont val="Noto Sans CJK SC"/>
        <family val="2"/>
      </rPr>
      <t xml:space="preserve">연면적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전용률</t>
    </r>
  </si>
  <si>
    <t xml:space="preserve">청년형 배정 전용면적</t>
  </si>
  <si>
    <t xml:space="preserve">신혼형 배정 전용면적</t>
  </si>
  <si>
    <t xml:space="preserve">청년형 세대수</t>
  </si>
  <si>
    <t xml:space="preserve">세대</t>
  </si>
  <si>
    <t xml:space="preserve">내림</t>
  </si>
  <si>
    <t xml:space="preserve">신혼형 세대수</t>
  </si>
  <si>
    <t xml:space="preserve">실사용 전용면적 합계</t>
  </si>
  <si>
    <r>
      <rPr>
        <sz val="9"/>
        <color rgb="FF5B6779"/>
        <rFont val="Noto Sans CJK SC"/>
        <family val="2"/>
      </rPr>
      <t xml:space="preserve">세대수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전용</t>
    </r>
  </si>
  <si>
    <r>
      <rPr>
        <sz val="10"/>
        <color rgb="FF000000"/>
        <rFont val="Noto Sans CJK SC"/>
        <family val="2"/>
      </rPr>
      <t xml:space="preserve">법정 주차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세대당 </t>
    </r>
    <r>
      <rPr>
        <sz val="10"/>
        <color rgb="FF000000"/>
        <rFont val="Arial"/>
        <family val="0"/>
        <charset val="1"/>
      </rPr>
      <t xml:space="preserve">0.5 </t>
    </r>
    <r>
      <rPr>
        <sz val="10"/>
        <color rgb="FF000000"/>
        <rFont val="Noto Sans CJK SC"/>
        <family val="2"/>
      </rPr>
      <t xml:space="preserve">가정</t>
    </r>
    <r>
      <rPr>
        <sz val="10"/>
        <color rgb="FF000000"/>
        <rFont val="Arial"/>
        <family val="0"/>
        <charset val="1"/>
      </rPr>
      <t xml:space="preserve">)</t>
    </r>
  </si>
  <si>
    <t xml:space="preserve">대</t>
  </si>
  <si>
    <t xml:space="preserve">서울 다세대 기준 가정</t>
  </si>
  <si>
    <r>
      <rPr>
        <sz val="10"/>
        <color rgb="FF000000"/>
        <rFont val="Noto Sans CJK SC"/>
        <family val="2"/>
      </rPr>
      <t xml:space="preserve">완화 주차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청년 </t>
    </r>
    <r>
      <rPr>
        <sz val="10"/>
        <color rgb="FF000000"/>
        <rFont val="Arial"/>
        <family val="0"/>
        <charset val="1"/>
      </rPr>
      <t xml:space="preserve">30</t>
    </r>
    <r>
      <rPr>
        <sz val="10"/>
        <color rgb="FF000000"/>
        <rFont val="Noto Sans CJK SC"/>
        <family val="2"/>
      </rPr>
      <t xml:space="preserve">㎡ 미만 </t>
    </r>
    <r>
      <rPr>
        <sz val="10"/>
        <color rgb="FF000000"/>
        <rFont val="Arial"/>
        <family val="0"/>
        <charset val="1"/>
      </rPr>
      <t xml:space="preserve">0.3)</t>
    </r>
  </si>
  <si>
    <r>
      <rPr>
        <sz val="9"/>
        <color rgb="FF5B6779"/>
        <rFont val="Noto Sans CJK SC"/>
        <family val="2"/>
      </rPr>
      <t xml:space="preserve">공공주택특별법 시행령 </t>
    </r>
    <r>
      <rPr>
        <sz val="9"/>
        <color rgb="FF5B6779"/>
        <rFont val="Arial"/>
        <family val="0"/>
        <charset val="1"/>
      </rPr>
      <t xml:space="preserve">§37④ — </t>
    </r>
    <r>
      <rPr>
        <sz val="9"/>
        <color rgb="FF5B6779"/>
        <rFont val="Noto Sans CJK SC"/>
        <family val="2"/>
      </rPr>
      <t xml:space="preserve">대학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역 </t>
    </r>
    <r>
      <rPr>
        <sz val="9"/>
        <color rgb="FF5B6779"/>
        <rFont val="Arial"/>
        <family val="0"/>
        <charset val="1"/>
      </rPr>
      <t xml:space="preserve">500m </t>
    </r>
    <r>
      <rPr>
        <sz val="9"/>
        <color rgb="FF5B6779"/>
        <rFont val="Noto Sans CJK SC"/>
        <family val="2"/>
      </rPr>
      <t xml:space="preserve">청년형</t>
    </r>
  </si>
  <si>
    <t xml:space="preserve">커뮤니티시설 의무면적</t>
  </si>
  <si>
    <r>
      <rPr>
        <sz val="9"/>
        <color rgb="FF5B6779"/>
        <rFont val="Arial"/>
        <family val="0"/>
        <charset val="1"/>
      </rPr>
      <t xml:space="preserve">50</t>
    </r>
    <r>
      <rPr>
        <sz val="9"/>
        <color rgb="FF5B6779"/>
        <rFont val="Noto Sans CJK SC"/>
        <family val="2"/>
      </rPr>
      <t xml:space="preserve">세대 이상 청년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신혼형 세대당 </t>
    </r>
    <r>
      <rPr>
        <sz val="9"/>
        <color rgb="FF5B6779"/>
        <rFont val="Arial"/>
        <family val="0"/>
        <charset val="1"/>
      </rPr>
      <t xml:space="preserve">1</t>
    </r>
    <r>
      <rPr>
        <sz val="9"/>
        <color rgb="FF5B6779"/>
        <rFont val="Noto Sans CJK SC"/>
        <family val="2"/>
      </rPr>
      <t xml:space="preserve">㎡ </t>
    </r>
    <r>
      <rPr>
        <sz val="9"/>
        <color rgb="FF5B6779"/>
        <rFont val="Arial"/>
        <family val="0"/>
        <charset val="1"/>
      </rPr>
      <t xml:space="preserve">(5</t>
    </r>
    <r>
      <rPr>
        <sz val="9"/>
        <color rgb="FF5B6779"/>
        <rFont val="Noto Sans CJK SC"/>
        <family val="2"/>
      </rPr>
      <t xml:space="preserve">차 공고</t>
    </r>
    <r>
      <rPr>
        <sz val="9"/>
        <color rgb="FF5B6779"/>
        <rFont val="Arial"/>
        <family val="0"/>
        <charset val="1"/>
      </rPr>
      <t xml:space="preserve">)</t>
    </r>
  </si>
  <si>
    <t xml:space="preserve">세대당 평균 전용</t>
  </si>
  <si>
    <r>
      <rPr>
        <b val="true"/>
        <sz val="14"/>
        <color rgb="FF12305A"/>
        <rFont val="Arial"/>
        <family val="0"/>
        <charset val="1"/>
      </rPr>
      <t xml:space="preserve">3. </t>
    </r>
    <r>
      <rPr>
        <b val="true"/>
        <sz val="14"/>
        <color rgb="FF12305A"/>
        <rFont val="Noto Sans CJK SC"/>
        <family val="2"/>
      </rPr>
      <t xml:space="preserve">사업비 </t>
    </r>
    <r>
      <rPr>
        <b val="true"/>
        <sz val="14"/>
        <color rgb="FF12305A"/>
        <rFont val="Arial"/>
        <family val="0"/>
        <charset val="1"/>
      </rPr>
      <t xml:space="preserve">(</t>
    </r>
    <r>
      <rPr>
        <b val="true"/>
        <sz val="14"/>
        <color rgb="FF12305A"/>
        <rFont val="Noto Sans CJK SC"/>
        <family val="2"/>
      </rPr>
      <t xml:space="preserve">원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</si>
  <si>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Noto Sans CJK SC"/>
        <family val="2"/>
      </rPr>
      <t xml:space="preserve">취득세 감면</t>
    </r>
    <r>
      <rPr>
        <i val="true"/>
        <sz val="9"/>
        <color rgb="FF5B6779"/>
        <rFont val="Arial"/>
        <family val="0"/>
        <charset val="1"/>
      </rPr>
      <t xml:space="preserve">·</t>
    </r>
    <r>
      <rPr>
        <i val="true"/>
        <sz val="9"/>
        <color rgb="FF5B6779"/>
        <rFont val="Noto Sans CJK SC"/>
        <family val="2"/>
      </rPr>
      <t xml:space="preserve">금융비 자동 계산</t>
    </r>
  </si>
  <si>
    <t xml:space="preserve">비중</t>
  </si>
  <si>
    <r>
      <rPr>
        <b val="true"/>
        <sz val="10"/>
        <color rgb="FFFFFFFF"/>
        <rFont val="Noto Sans CJK SC"/>
        <family val="2"/>
      </rPr>
      <t xml:space="preserve">산식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근거</t>
    </r>
  </si>
  <si>
    <t xml:space="preserve">입력</t>
  </si>
  <si>
    <r>
      <rPr>
        <sz val="10"/>
        <color rgb="FF000000"/>
        <rFont val="Noto Sans CJK SC"/>
        <family val="2"/>
      </rPr>
      <t xml:space="preserve">토지 취득세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감면 반영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</si>
  <si>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9"/>
        <color rgb="FF5B6779"/>
        <rFont val="Arial"/>
        <family val="0"/>
        <charset val="1"/>
      </rPr>
      <t xml:space="preserve">4.6% × (1−15%) — </t>
    </r>
    <r>
      <rPr>
        <sz val="9"/>
        <color rgb="FF5B6779"/>
        <rFont val="Noto Sans CJK SC"/>
        <family val="2"/>
      </rPr>
      <t xml:space="preserve">약정 체결 조건</t>
    </r>
  </si>
  <si>
    <r>
      <rPr>
        <sz val="10"/>
        <color rgb="FF000000"/>
        <rFont val="Noto Sans CJK SC"/>
        <family val="2"/>
      </rPr>
      <t xml:space="preserve">등기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법무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중개</t>
    </r>
  </si>
  <si>
    <r>
      <rPr>
        <sz val="9"/>
        <color rgb="FF5B6779"/>
        <rFont val="Noto Sans CJK SC"/>
        <family val="2"/>
      </rPr>
      <t xml:space="preserve">가정 </t>
    </r>
    <r>
      <rPr>
        <sz val="9"/>
        <color rgb="FF5B6779"/>
        <rFont val="Arial"/>
        <family val="0"/>
        <charset val="1"/>
      </rPr>
      <t xml:space="preserve">1.2%</t>
    </r>
  </si>
  <si>
    <t xml:space="preserve">건축 공사비</t>
  </si>
  <si>
    <r>
      <rPr>
        <sz val="9"/>
        <color rgb="FF5B6779"/>
        <rFont val="Noto Sans CJK SC"/>
        <family val="2"/>
      </rPr>
      <t xml:space="preserve">연면적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㎡당 공사비</t>
    </r>
  </si>
  <si>
    <r>
      <rPr>
        <sz val="10"/>
        <color rgb="FF000000"/>
        <rFont val="Noto Sans CJK SC"/>
        <family val="2"/>
      </rPr>
      <t xml:space="preserve">설계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감리</t>
    </r>
  </si>
  <si>
    <r>
      <rPr>
        <sz val="10"/>
        <color rgb="FF000000"/>
        <rFont val="Noto Sans CJK SC"/>
        <family val="2"/>
      </rPr>
      <t xml:space="preserve">인허가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부담금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기타</t>
    </r>
  </si>
  <si>
    <r>
      <rPr>
        <sz val="10"/>
        <color rgb="FF000000"/>
        <rFont val="Noto Sans CJK SC"/>
        <family val="2"/>
      </rPr>
      <t xml:space="preserve">건물 취득세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원시취득</t>
    </r>
    <r>
      <rPr>
        <sz val="10"/>
        <color rgb="FF000000"/>
        <rFont val="Arial"/>
        <family val="0"/>
        <charset val="1"/>
      </rPr>
      <t xml:space="preserve">, </t>
    </r>
    <r>
      <rPr>
        <sz val="10"/>
        <color rgb="FF000000"/>
        <rFont val="Noto Sans CJK SC"/>
        <family val="2"/>
      </rPr>
      <t xml:space="preserve">감면</t>
    </r>
    <r>
      <rPr>
        <sz val="10"/>
        <color rgb="FF000000"/>
        <rFont val="Arial"/>
        <family val="0"/>
        <charset val="1"/>
      </rPr>
      <t xml:space="preserve">)</t>
    </r>
  </si>
  <si>
    <t xml:space="preserve">2.8%+0.16%+0.2% × (1−15%)</t>
  </si>
  <si>
    <r>
      <rPr>
        <sz val="10"/>
        <color rgb="FF000000"/>
        <rFont val="Noto Sans CJK SC"/>
        <family val="2"/>
      </rPr>
      <t xml:space="preserve">컨설팅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사전심의</t>
    </r>
  </si>
  <si>
    <r>
      <rPr>
        <sz val="9"/>
        <color rgb="FF5B6779"/>
        <rFont val="Noto Sans CJK SC"/>
        <family val="2"/>
      </rPr>
      <t xml:space="preserve">선불</t>
    </r>
    <r>
      <rPr>
        <sz val="9"/>
        <color rgb="FF5B6779"/>
        <rFont val="Arial"/>
        <family val="0"/>
        <charset val="1"/>
      </rPr>
      <t xml:space="preserve">+</t>
    </r>
    <r>
      <rPr>
        <sz val="9"/>
        <color rgb="FF5B6779"/>
        <rFont val="Noto Sans CJK SC"/>
        <family val="2"/>
      </rPr>
      <t xml:space="preserve">성공수당</t>
    </r>
  </si>
  <si>
    <r>
      <rPr>
        <sz val="10"/>
        <color rgb="FF000000"/>
        <rFont val="Noto Sans CJK SC"/>
        <family val="2"/>
      </rPr>
      <t xml:space="preserve">금융비용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이자</t>
    </r>
    <r>
      <rPr>
        <sz val="10"/>
        <color rgb="FF000000"/>
        <rFont val="Arial"/>
        <family val="0"/>
        <charset val="1"/>
      </rPr>
      <t xml:space="preserve">)</t>
    </r>
  </si>
  <si>
    <t xml:space="preserve">현금흐름 시트 이자 합계</t>
  </si>
  <si>
    <t xml:space="preserve">소계</t>
  </si>
  <si>
    <t xml:space="preserve">세대당 사업비</t>
  </si>
  <si>
    <r>
      <rPr>
        <sz val="9"/>
        <color rgb="FF5B6779"/>
        <rFont val="Noto Sans CJK SC"/>
        <family val="2"/>
      </rPr>
      <t xml:space="preserve">총사업비 </t>
    </r>
    <r>
      <rPr>
        <sz val="9"/>
        <color rgb="FF5B6779"/>
        <rFont val="Arial"/>
        <family val="0"/>
        <charset val="1"/>
      </rPr>
      <t xml:space="preserve">÷ </t>
    </r>
    <r>
      <rPr>
        <sz val="9"/>
        <color rgb="FF5B6779"/>
        <rFont val="Noto Sans CJK SC"/>
        <family val="2"/>
      </rPr>
      <t xml:space="preserve">세대수</t>
    </r>
  </si>
  <si>
    <t xml:space="preserve">연면적 ㎡당 사업비</t>
  </si>
  <si>
    <r>
      <rPr>
        <b val="true"/>
        <sz val="14"/>
        <color rgb="FF12305A"/>
        <rFont val="Arial"/>
        <family val="0"/>
        <charset val="1"/>
      </rPr>
      <t xml:space="preserve">4. </t>
    </r>
    <r>
      <rPr>
        <b val="true"/>
        <sz val="14"/>
        <color rgb="FF12305A"/>
        <rFont val="Noto Sans CJK SC"/>
        <family val="2"/>
      </rPr>
      <t xml:space="preserve">매입대금 </t>
    </r>
    <r>
      <rPr>
        <b val="true"/>
        <sz val="14"/>
        <color rgb="FF12305A"/>
        <rFont val="Arial"/>
        <family val="0"/>
        <charset val="1"/>
      </rPr>
      <t xml:space="preserve">(1</t>
    </r>
    <r>
      <rPr>
        <b val="true"/>
        <sz val="14"/>
        <color rgb="FF12305A"/>
        <rFont val="Noto Sans CJK SC"/>
        <family val="2"/>
      </rPr>
      <t xml:space="preserve">차 감정 → </t>
    </r>
    <r>
      <rPr>
        <b val="true"/>
        <sz val="14"/>
        <color rgb="FF12305A"/>
        <rFont val="Arial"/>
        <family val="0"/>
        <charset val="1"/>
      </rPr>
      <t xml:space="preserve">2</t>
    </r>
    <r>
      <rPr>
        <b val="true"/>
        <sz val="14"/>
        <color rgb="FF12305A"/>
        <rFont val="Noto Sans CJK SC"/>
        <family val="2"/>
      </rPr>
      <t xml:space="preserve">차 감정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</si>
  <si>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Arial"/>
        <family val="0"/>
        <charset val="1"/>
      </rPr>
      <t xml:space="preserve">LH </t>
    </r>
    <r>
      <rPr>
        <i val="true"/>
        <sz val="9"/>
        <color rgb="FF5B6779"/>
        <rFont val="Noto Sans CJK SC"/>
        <family val="2"/>
      </rPr>
      <t xml:space="preserve">서울 </t>
    </r>
    <r>
      <rPr>
        <i val="true"/>
        <sz val="9"/>
        <color rgb="FF5B6779"/>
        <rFont val="Arial"/>
        <family val="0"/>
        <charset val="1"/>
      </rPr>
      <t xml:space="preserve">2026-5</t>
    </r>
    <r>
      <rPr>
        <i val="true"/>
        <sz val="9"/>
        <color rgb="FF5B6779"/>
        <rFont val="Noto Sans CJK SC"/>
        <family val="2"/>
      </rPr>
      <t xml:space="preserve">차 공고 </t>
    </r>
    <r>
      <rPr>
        <i val="true"/>
        <sz val="9"/>
        <color rgb="FF5B6779"/>
        <rFont val="Arial"/>
        <family val="0"/>
        <charset val="1"/>
      </rPr>
      <t xml:space="preserve">§</t>
    </r>
    <r>
      <rPr>
        <i val="true"/>
        <sz val="9"/>
        <color rgb="FF5B6779"/>
        <rFont val="Noto Sans CJK SC"/>
        <family val="2"/>
      </rPr>
      <t xml:space="preserve">매매대금 결정 반영</t>
    </r>
  </si>
  <si>
    <r>
      <rPr>
        <b val="true"/>
        <sz val="10"/>
        <color rgb="FFFFFFFF"/>
        <rFont val="Noto Sans CJK SC"/>
        <family val="2"/>
      </rPr>
      <t xml:space="preserve">금액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</si>
  <si>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Arial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차 대비</t>
    </r>
  </si>
  <si>
    <t xml:space="preserve">근거</t>
  </si>
  <si>
    <r>
      <rPr>
        <b val="true"/>
        <sz val="10"/>
        <color rgb="FF000000"/>
        <rFont val="Arial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차 감정평가금액 </t>
    </r>
    <r>
      <rPr>
        <b val="true"/>
        <sz val="10"/>
        <color rgb="FF000000"/>
        <rFont val="Arial"/>
        <family val="0"/>
        <charset val="1"/>
      </rPr>
      <t xml:space="preserve">= </t>
    </r>
    <r>
      <rPr>
        <b val="true"/>
        <sz val="10"/>
        <color rgb="FF000000"/>
        <rFont val="Noto Sans CJK SC"/>
        <family val="2"/>
      </rPr>
      <t xml:space="preserve">매매예정금액</t>
    </r>
  </si>
  <si>
    <r>
      <rPr>
        <sz val="9"/>
        <color rgb="FF5B6779"/>
        <rFont val="Noto Sans CJK SC"/>
        <family val="2"/>
      </rPr>
      <t xml:space="preserve">연면적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예상 단가 </t>
    </r>
    <r>
      <rPr>
        <sz val="9"/>
        <color rgb="FF5B6779"/>
        <rFont val="Arial"/>
        <family val="0"/>
        <charset val="1"/>
      </rPr>
      <t xml:space="preserve">(2</t>
    </r>
    <r>
      <rPr>
        <sz val="9"/>
        <color rgb="FF5B6779"/>
        <rFont val="Noto Sans CJK SC"/>
        <family val="2"/>
      </rPr>
      <t xml:space="preserve">개 법인 산술평균 가정</t>
    </r>
    <r>
      <rPr>
        <sz val="9"/>
        <color rgb="FF5B6779"/>
        <rFont val="Arial"/>
        <family val="0"/>
        <charset val="1"/>
      </rPr>
      <t xml:space="preserve">)</t>
    </r>
  </si>
  <si>
    <t xml:space="preserve">  토지분</t>
  </si>
  <si>
    <t xml:space="preserve">토지확보지원금 산정 기준</t>
  </si>
  <si>
    <t xml:space="preserve">  건물분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</si>
  <si>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 하한</t>
    </r>
    <r>
      <rPr>
        <sz val="10"/>
        <color rgb="FF000000"/>
        <rFont val="Arial"/>
        <family val="0"/>
        <charset val="1"/>
      </rPr>
      <t xml:space="preserve">(−10%)</t>
    </r>
  </si>
  <si>
    <t xml:space="preserve">매매예정금액 기준 하락 하한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</si>
  <si>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 상한</t>
    </r>
    <r>
      <rPr>
        <sz val="10"/>
        <color rgb="FF000000"/>
        <rFont val="Arial"/>
        <family val="0"/>
        <charset val="1"/>
      </rPr>
      <t xml:space="preserve">(+10%)</t>
    </r>
  </si>
  <si>
    <r>
      <rPr>
        <sz val="9"/>
        <color rgb="FF5B6779"/>
        <rFont val="Noto Sans CJK SC"/>
        <family val="2"/>
      </rPr>
      <t xml:space="preserve">거래사례비교법 상한 — 규제지역 </t>
    </r>
    <r>
      <rPr>
        <sz val="9"/>
        <color rgb="FF5B6779"/>
        <rFont val="Arial"/>
        <family val="0"/>
        <charset val="1"/>
      </rPr>
      <t xml:space="preserve">110%</t>
    </r>
  </si>
  <si>
    <r>
      <rPr>
        <sz val="10"/>
        <color rgb="FF000000"/>
        <rFont val="Noto Sans CJK SC"/>
        <family val="2"/>
      </rPr>
      <t xml:space="preserve">규제지역 원가법 가산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최대 </t>
    </r>
    <r>
      <rPr>
        <sz val="10"/>
        <color rgb="FF000000"/>
        <rFont val="Arial"/>
        <family val="0"/>
        <charset val="1"/>
      </rPr>
      <t xml:space="preserve">15%)</t>
    </r>
  </si>
  <si>
    <r>
      <rPr>
        <sz val="9"/>
        <color rgb="FF5B6779"/>
        <rFont val="Noto Sans CJK SC"/>
        <family val="2"/>
      </rPr>
      <t xml:space="preserve">원가법 금액이 거래사례비교법 초과 시</t>
    </r>
    <r>
      <rPr>
        <sz val="9"/>
        <color rgb="FF5B6779"/>
        <rFont val="Arial"/>
        <family val="0"/>
        <charset val="1"/>
      </rPr>
      <t xml:space="preserve">, '26 </t>
    </r>
    <r>
      <rPr>
        <sz val="9"/>
        <color rgb="FF5B6779"/>
        <rFont val="Noto Sans CJK SC"/>
        <family val="2"/>
      </rPr>
      <t xml:space="preserve">접수</t>
    </r>
    <r>
      <rPr>
        <sz val="9"/>
        <color rgb="FF5B6779"/>
        <rFont val="Arial"/>
        <family val="0"/>
        <charset val="1"/>
      </rPr>
      <t xml:space="preserve">·'27 </t>
    </r>
    <r>
      <rPr>
        <sz val="9"/>
        <color rgb="FF5B6779"/>
        <rFont val="Noto Sans CJK SC"/>
        <family val="2"/>
      </rPr>
      <t xml:space="preserve">이전 착공</t>
    </r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</si>
  <si>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 최대</t>
    </r>
    <r>
      <rPr>
        <sz val="10"/>
        <color rgb="FF000000"/>
        <rFont val="Arial"/>
        <family val="0"/>
        <charset val="1"/>
      </rPr>
      <t xml:space="preserve">(126.5%)</t>
    </r>
  </si>
  <si>
    <t xml:space="preserve">1.10 × 1.15 = 1.265</t>
  </si>
  <si>
    <r>
      <rPr>
        <sz val="10"/>
        <color rgb="FF000000"/>
        <rFont val="Noto Sans CJK SC"/>
        <family val="2"/>
      </rPr>
      <t xml:space="preserve">적용 </t>
    </r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기본 시나리오</t>
    </r>
    <r>
      <rPr>
        <sz val="10"/>
        <color rgb="FF000000"/>
        <rFont val="Arial"/>
        <family val="0"/>
        <charset val="1"/>
      </rPr>
      <t xml:space="preserve">)</t>
    </r>
  </si>
  <si>
    <t xml:space="preserve">가정 시트 변동률</t>
  </si>
  <si>
    <r>
      <rPr>
        <sz val="9"/>
        <color rgb="FF5B6779"/>
        <rFont val="Noto Sans CJK SC"/>
        <family val="2"/>
      </rPr>
      <t xml:space="preserve">하한</t>
    </r>
    <r>
      <rPr>
        <sz val="9"/>
        <color rgb="FF5B6779"/>
        <rFont val="Arial"/>
        <family val="0"/>
        <charset val="1"/>
      </rPr>
      <t xml:space="preserve">·</t>
    </r>
    <r>
      <rPr>
        <sz val="9"/>
        <color rgb="FF5B6779"/>
        <rFont val="Noto Sans CJK SC"/>
        <family val="2"/>
      </rPr>
      <t xml:space="preserve">상한 안에서 확정</t>
    </r>
  </si>
  <si>
    <t xml:space="preserve">세대당 매매대금</t>
  </si>
  <si>
    <r>
      <rPr>
        <b val="true"/>
        <sz val="10"/>
        <color rgb="FF000000"/>
        <rFont val="Noto Sans CJK SC"/>
        <family val="2"/>
      </rPr>
      <t xml:space="preserve">순이익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최종 매매대금 − 총사업비</t>
    </r>
    <r>
      <rPr>
        <b val="true"/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</si>
  <si>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사업 수익률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총사업비 대비</t>
    </r>
    <r>
      <rPr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</si>
  <si>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자기자본 수익률</t>
    </r>
    <r>
      <rPr>
        <sz val="10"/>
        <color rgb="FF000000"/>
        <rFont val="Arial"/>
        <family val="0"/>
        <charset val="1"/>
      </rPr>
      <t xml:space="preserve">(ROE)</t>
    </r>
  </si>
  <si>
    <r>
      <rPr>
        <sz val="9"/>
        <color rgb="FF5B6779"/>
        <rFont val="Noto Sans CJK SC"/>
        <family val="2"/>
      </rPr>
      <t xml:space="preserve">순이익 </t>
    </r>
    <r>
      <rPr>
        <sz val="9"/>
        <color rgb="FF5B6779"/>
        <rFont val="Arial"/>
        <family val="0"/>
        <charset val="1"/>
      </rPr>
      <t xml:space="preserve">÷ </t>
    </r>
    <r>
      <rPr>
        <sz val="9"/>
        <color rgb="FF5B6779"/>
        <rFont val="Noto Sans CJK SC"/>
        <family val="2"/>
      </rPr>
      <t xml:space="preserve">최대 자기자본 소요</t>
    </r>
  </si>
  <si>
    <r>
      <rPr>
        <b val="true"/>
        <sz val="14"/>
        <color rgb="FF12305A"/>
        <rFont val="Arial"/>
        <family val="0"/>
        <charset val="1"/>
      </rPr>
      <t xml:space="preserve">5. </t>
    </r>
    <r>
      <rPr>
        <b val="true"/>
        <sz val="14"/>
        <color rgb="FF12305A"/>
        <rFont val="Noto Sans CJK SC"/>
        <family val="2"/>
      </rPr>
      <t xml:space="preserve">현금흐름 </t>
    </r>
    <r>
      <rPr>
        <b val="true"/>
        <sz val="14"/>
        <color rgb="FF12305A"/>
        <rFont val="Arial"/>
        <family val="0"/>
        <charset val="1"/>
      </rPr>
      <t xml:space="preserve">(</t>
    </r>
    <r>
      <rPr>
        <b val="true"/>
        <sz val="14"/>
        <color rgb="FF12305A"/>
        <rFont val="Noto Sans CJK SC"/>
        <family val="2"/>
      </rPr>
      <t xml:space="preserve">분기 </t>
    </r>
    <r>
      <rPr>
        <b val="true"/>
        <sz val="14"/>
        <color rgb="FF12305A"/>
        <rFont val="Arial"/>
        <family val="0"/>
        <charset val="1"/>
      </rPr>
      <t xml:space="preserve">· </t>
    </r>
    <r>
      <rPr>
        <b val="true"/>
        <sz val="14"/>
        <color rgb="FF12305A"/>
        <rFont val="Noto Sans CJK SC"/>
        <family val="2"/>
      </rPr>
      <t xml:space="preserve">원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</si>
  <si>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Noto Sans CJK SC"/>
        <family val="2"/>
      </rPr>
      <t xml:space="preserve">지출 </t>
    </r>
    <r>
      <rPr>
        <i val="true"/>
        <sz val="9"/>
        <color rgb="FF5B6779"/>
        <rFont val="Arial"/>
        <family val="0"/>
        <charset val="1"/>
      </rPr>
      <t xml:space="preserve">S-curve · </t>
    </r>
    <r>
      <rPr>
        <i val="true"/>
        <sz val="9"/>
        <color rgb="FF5B6779"/>
        <rFont val="Noto Sans CJK SC"/>
        <family val="2"/>
      </rPr>
      <t xml:space="preserve">수입</t>
    </r>
    <r>
      <rPr>
        <i val="true"/>
        <sz val="9"/>
        <color rgb="FF5B6779"/>
        <rFont val="Arial"/>
        <family val="0"/>
        <charset val="1"/>
      </rPr>
      <t xml:space="preserve">(</t>
    </r>
    <r>
      <rPr>
        <i val="true"/>
        <sz val="9"/>
        <color rgb="FF5B6779"/>
        <rFont val="Noto Sans CJK SC"/>
        <family val="2"/>
      </rPr>
      <t xml:space="preserve">지원금→약정금→계약금→잔금</t>
    </r>
    <r>
      <rPr>
        <i val="true"/>
        <sz val="9"/>
        <color rgb="FF5B6779"/>
        <rFont val="Arial"/>
        <family val="0"/>
        <charset val="1"/>
      </rPr>
      <t xml:space="preserve">) · </t>
    </r>
    <r>
      <rPr>
        <i val="true"/>
        <sz val="9"/>
        <color rgb="FF5B6779"/>
        <rFont val="Noto Sans CJK SC"/>
        <family val="2"/>
      </rPr>
      <t xml:space="preserve">차입</t>
    </r>
    <r>
      <rPr>
        <i val="true"/>
        <sz val="9"/>
        <color rgb="FF5B6779"/>
        <rFont val="Arial"/>
        <family val="0"/>
        <charset val="1"/>
      </rPr>
      <t xml:space="preserve">·</t>
    </r>
    <r>
      <rPr>
        <i val="true"/>
        <sz val="9"/>
        <color rgb="FF5B6779"/>
        <rFont val="Noto Sans CJK SC"/>
        <family val="2"/>
      </rPr>
      <t xml:space="preserve">이자</t>
    </r>
  </si>
  <si>
    <t xml:space="preserve">합계</t>
  </si>
  <si>
    <t xml:space="preserve">토지 취득 지출</t>
  </si>
  <si>
    <r>
      <rPr>
        <sz val="10"/>
        <color rgb="FF000000"/>
        <rFont val="Noto Sans CJK SC"/>
        <family val="2"/>
      </rPr>
      <t xml:space="preserve">취득세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등기</t>
    </r>
  </si>
  <si>
    <t xml:space="preserve">공사비 지출</t>
  </si>
  <si>
    <r>
      <rPr>
        <sz val="10"/>
        <color rgb="FF000000"/>
        <rFont val="Noto Sans CJK SC"/>
        <family val="2"/>
      </rPr>
      <t xml:space="preserve">설계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인허가</t>
    </r>
    <r>
      <rPr>
        <sz val="10"/>
        <color rgb="FF000000"/>
        <rFont val="Arial"/>
        <family val="0"/>
        <charset val="1"/>
      </rPr>
      <t xml:space="preserve">·</t>
    </r>
    <r>
      <rPr>
        <sz val="10"/>
        <color rgb="FF000000"/>
        <rFont val="Noto Sans CJK SC"/>
        <family val="2"/>
      </rPr>
      <t xml:space="preserve">컨설팅</t>
    </r>
  </si>
  <si>
    <t xml:space="preserve">매입약정금</t>
  </si>
  <si>
    <t xml:space="preserve">계약금</t>
  </si>
  <si>
    <t xml:space="preserve">잔금</t>
  </si>
  <si>
    <r>
      <rPr>
        <b val="true"/>
        <sz val="10"/>
        <color rgb="FF000000"/>
        <rFont val="Noto Sans CJK SC"/>
        <family val="2"/>
      </rPr>
      <t xml:space="preserve">순현금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수입−지출</t>
    </r>
    <r>
      <rPr>
        <b val="true"/>
        <sz val="10"/>
        <color rgb="FF000000"/>
        <rFont val="Arial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</si>
  <si>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차입 실행</t>
    </r>
    <r>
      <rPr>
        <sz val="10"/>
        <color rgb="FF000000"/>
        <rFont val="Arial"/>
        <family val="0"/>
        <charset val="1"/>
      </rPr>
      <t xml:space="preserve">(+)/</t>
    </r>
    <r>
      <rPr>
        <sz val="10"/>
        <color rgb="FF000000"/>
        <rFont val="Noto Sans CJK SC"/>
        <family val="2"/>
      </rPr>
      <t xml:space="preserve">상환</t>
    </r>
    <r>
      <rPr>
        <sz val="10"/>
        <color rgb="FF000000"/>
        <rFont val="Arial"/>
        <family val="0"/>
        <charset val="1"/>
      </rPr>
      <t xml:space="preserve">(−)</t>
    </r>
  </si>
  <si>
    <t xml:space="preserve">이자</t>
  </si>
  <si>
    <t xml:space="preserve">누적 자기자본 투입</t>
  </si>
  <si>
    <t xml:space="preserve">보조 파라미터</t>
  </si>
  <si>
    <t xml:space="preserve">착공 분기</t>
  </si>
  <si>
    <t xml:space="preserve">준공 분기</t>
  </si>
  <si>
    <r>
      <rPr>
        <sz val="10"/>
        <color rgb="FF000000"/>
        <rFont val="Noto Sans CJK SC"/>
        <family val="2"/>
      </rPr>
      <t xml:space="preserve">골조 완료 분기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착공</t>
    </r>
    <r>
      <rPr>
        <sz val="10"/>
        <color rgb="FF000000"/>
        <rFont val="Arial"/>
        <family val="0"/>
        <charset val="1"/>
      </rPr>
      <t xml:space="preserve">+2)</t>
    </r>
  </si>
  <si>
    <t xml:space="preserve">이자 합계</t>
  </si>
  <si>
    <r>
      <rPr>
        <b val="true"/>
        <sz val="10"/>
        <color rgb="FF000000"/>
        <rFont val="Noto Sans CJK SC"/>
        <family val="2"/>
      </rPr>
      <t xml:space="preserve">토지확보지원금 비율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적용</t>
    </r>
    <r>
      <rPr>
        <b val="true"/>
        <sz val="10"/>
        <color rgb="FF000000"/>
        <rFont val="Arial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</si>
  <si>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매입약정금 비율</t>
    </r>
    <r>
      <rPr>
        <b val="true"/>
        <sz val="10"/>
        <color rgb="FF000000"/>
        <rFont val="Arial"/>
        <family val="0"/>
        <charset val="1"/>
      </rPr>
      <t xml:space="preserve">(1</t>
    </r>
    <r>
      <rPr>
        <b val="true"/>
        <sz val="10"/>
        <color rgb="FF000000"/>
        <rFont val="Noto Sans CJK SC"/>
        <family val="2"/>
      </rPr>
      <t xml:space="preserve">차 감정가 기준</t>
    </r>
    <r>
      <rPr>
        <b val="true"/>
        <sz val="10"/>
        <color rgb="FF000000"/>
        <rFont val="Arial"/>
        <family val="0"/>
        <charset val="1"/>
      </rPr>
      <t xml:space="preserve">)</t>
    </r>
  </si>
  <si>
    <r>
      <rPr>
        <b val="true"/>
        <sz val="10"/>
        <color rgb="FF000000"/>
        <rFont val="Noto Sans CJK SC"/>
        <family val="2"/>
      </rPr>
      <t xml:space="preserve">계약금 비율</t>
    </r>
    <r>
      <rPr>
        <b val="true"/>
        <sz val="10"/>
        <color rgb="FF000000"/>
        <rFont val="Arial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최종금액</t>
    </r>
    <r>
      <rPr>
        <b val="true"/>
        <sz val="10"/>
        <color rgb="FF000000"/>
        <rFont val="Arial"/>
        <family val="0"/>
        <charset val="1"/>
      </rPr>
      <t xml:space="preserve">)</t>
    </r>
  </si>
  <si>
    <r>
      <rPr>
        <b val="true"/>
        <sz val="14"/>
        <color rgb="FF12305A"/>
        <rFont val="Arial"/>
        <family val="0"/>
        <charset val="1"/>
      </rPr>
      <t xml:space="preserve">6. </t>
    </r>
    <r>
      <rPr>
        <b val="true"/>
        <sz val="14"/>
        <color rgb="FF12305A"/>
        <rFont val="Noto Sans CJK SC"/>
        <family val="2"/>
      </rPr>
      <t xml:space="preserve">민감도 — 순이익</t>
    </r>
    <r>
      <rPr>
        <b val="true"/>
        <sz val="14"/>
        <color rgb="FF12305A"/>
        <rFont val="Arial"/>
        <family val="0"/>
        <charset val="1"/>
      </rPr>
      <t xml:space="preserve">(</t>
    </r>
    <r>
      <rPr>
        <b val="true"/>
        <sz val="14"/>
        <color rgb="FF12305A"/>
        <rFont val="Noto Sans CJK SC"/>
        <family val="2"/>
      </rPr>
      <t xml:space="preserve">원</t>
    </r>
    <r>
      <rPr>
        <b val="true"/>
        <sz val="14"/>
        <color rgb="FF12305A"/>
        <rFont val="Arial"/>
        <family val="0"/>
        <charset val="1"/>
      </rPr>
      <t xml:space="preserve">)</t>
    </r>
  </si>
  <si>
    <r>
      <rPr>
        <i val="true"/>
        <sz val="9"/>
        <color rgb="FF5B6779"/>
        <rFont val="Noto Sans CJK SC"/>
        <family val="2"/>
      </rPr>
      <t xml:space="preserve">행</t>
    </r>
    <r>
      <rPr>
        <i val="true"/>
        <sz val="9"/>
        <color rgb="FF5B6779"/>
        <rFont val="Arial"/>
        <family val="0"/>
        <charset val="1"/>
      </rPr>
      <t xml:space="preserve">: </t>
    </r>
    <r>
      <rPr>
        <i val="true"/>
        <sz val="9"/>
        <color rgb="FF5B6779"/>
        <rFont val="Noto Sans CJK SC"/>
        <family val="2"/>
      </rPr>
      <t xml:space="preserve">매입단가 변동 </t>
    </r>
    <r>
      <rPr>
        <i val="true"/>
        <sz val="9"/>
        <color rgb="FF5B6779"/>
        <rFont val="Arial"/>
        <family val="0"/>
        <charset val="1"/>
      </rPr>
      <t xml:space="preserve">· </t>
    </r>
    <r>
      <rPr>
        <i val="true"/>
        <sz val="9"/>
        <color rgb="FF5B6779"/>
        <rFont val="Noto Sans CJK SC"/>
        <family val="2"/>
      </rPr>
      <t xml:space="preserve">열</t>
    </r>
    <r>
      <rPr>
        <i val="true"/>
        <sz val="9"/>
        <color rgb="FF5B6779"/>
        <rFont val="Arial"/>
        <family val="0"/>
        <charset val="1"/>
      </rPr>
      <t xml:space="preserve">: </t>
    </r>
    <r>
      <rPr>
        <i val="true"/>
        <sz val="9"/>
        <color rgb="FF5B6779"/>
        <rFont val="Noto Sans CJK SC"/>
        <family val="2"/>
      </rPr>
      <t xml:space="preserve">공사비 변동 </t>
    </r>
    <r>
      <rPr>
        <i val="true"/>
        <sz val="9"/>
        <color rgb="FF5B6779"/>
        <rFont val="Arial"/>
        <family val="0"/>
        <charset val="1"/>
      </rPr>
      <t xml:space="preserve">· </t>
    </r>
    <r>
      <rPr>
        <i val="true"/>
        <sz val="9"/>
        <color rgb="FF5B6779"/>
        <rFont val="Noto Sans CJK SC"/>
        <family val="2"/>
      </rPr>
      <t xml:space="preserve">기본 사업비 구조 고정</t>
    </r>
  </si>
  <si>
    <r>
      <rPr>
        <b val="true"/>
        <sz val="10"/>
        <color rgb="FFFFFFFF"/>
        <rFont val="Noto Sans CJK SC"/>
        <family val="2"/>
      </rPr>
      <t xml:space="preserve">매입단가 ↓ </t>
    </r>
    <r>
      <rPr>
        <b val="true"/>
        <sz val="10"/>
        <color rgb="FFFFFFFF"/>
        <rFont val="Arial"/>
        <family val="0"/>
        <charset val="1"/>
      </rPr>
      <t xml:space="preserve">/ </t>
    </r>
    <r>
      <rPr>
        <b val="true"/>
        <sz val="10"/>
        <color rgb="FFFFFFFF"/>
        <rFont val="Noto Sans CJK SC"/>
        <family val="2"/>
      </rPr>
      <t xml:space="preserve">공사비 →</t>
    </r>
  </si>
  <si>
    <t xml:space="preserve">읽는 법</t>
  </si>
  <si>
    <r>
      <rPr>
        <sz val="9"/>
        <color rgb="FF5B6779"/>
        <rFont val="Noto Sans CJK SC"/>
        <family val="2"/>
      </rPr>
      <t xml:space="preserve">노란 칸이 기본 시나리오</t>
    </r>
    <r>
      <rPr>
        <sz val="9"/>
        <color rgb="FF5B6779"/>
        <rFont val="Arial"/>
        <family val="0"/>
        <charset val="1"/>
      </rPr>
      <t xml:space="preserve">. </t>
    </r>
    <r>
      <rPr>
        <sz val="9"/>
        <color rgb="FF5B6779"/>
        <rFont val="Noto Sans CJK SC"/>
        <family val="2"/>
      </rPr>
      <t xml:space="preserve">마지막 행</t>
    </r>
    <r>
      <rPr>
        <sz val="9"/>
        <color rgb="FF5B6779"/>
        <rFont val="Arial"/>
        <family val="0"/>
        <charset val="1"/>
      </rPr>
      <t xml:space="preserve">(+26.5%)</t>
    </r>
    <r>
      <rPr>
        <sz val="9"/>
        <color rgb="FF5B6779"/>
        <rFont val="Noto Sans CJK SC"/>
        <family val="2"/>
      </rPr>
      <t xml:space="preserve">은 수도권 규제지역 </t>
    </r>
    <r>
      <rPr>
        <sz val="9"/>
        <color rgb="FF5B6779"/>
        <rFont val="Arial"/>
        <family val="0"/>
        <charset val="1"/>
      </rPr>
      <t xml:space="preserve">2</t>
    </r>
    <r>
      <rPr>
        <sz val="9"/>
        <color rgb="FF5B6779"/>
        <rFont val="Noto Sans CJK SC"/>
        <family val="2"/>
      </rPr>
      <t xml:space="preserve">차 감정 특례 최대치</t>
    </r>
    <r>
      <rPr>
        <sz val="9"/>
        <color rgb="FF5B6779"/>
        <rFont val="Arial"/>
        <family val="0"/>
        <charset val="1"/>
      </rPr>
      <t xml:space="preserve">(110% × </t>
    </r>
    <r>
      <rPr>
        <sz val="9"/>
        <color rgb="FF5B6779"/>
        <rFont val="Noto Sans CJK SC"/>
        <family val="2"/>
      </rPr>
      <t xml:space="preserve">원가법 가산 </t>
    </r>
    <r>
      <rPr>
        <sz val="9"/>
        <color rgb="FF5B6779"/>
        <rFont val="Arial"/>
        <family val="0"/>
        <charset val="1"/>
      </rPr>
      <t xml:space="preserve">15%). </t>
    </r>
    <r>
      <rPr>
        <sz val="9"/>
        <color rgb="FF5B6779"/>
        <rFont val="Noto Sans CJK SC"/>
        <family val="2"/>
      </rPr>
      <t xml:space="preserve">공사비 </t>
    </r>
    <r>
      <rPr>
        <sz val="9"/>
        <color rgb="FF5B6779"/>
        <rFont val="Arial"/>
        <family val="0"/>
        <charset val="1"/>
      </rPr>
      <t xml:space="preserve">+20%</t>
    </r>
    <r>
      <rPr>
        <sz val="9"/>
        <color rgb="FF5B6779"/>
        <rFont val="Noto Sans CJK SC"/>
        <family val="2"/>
      </rPr>
      <t xml:space="preserve">에서도 순이익이 남는지가 관건입니다</t>
    </r>
    <r>
      <rPr>
        <sz val="9"/>
        <color rgb="FF5B6779"/>
        <rFont val="Arial"/>
        <family val="0"/>
        <charset val="1"/>
      </rPr>
      <t xml:space="preserve">.</t>
    </r>
  </si>
  <si>
    <r>
      <rPr>
        <b val="true"/>
        <sz val="14"/>
        <color rgb="FF12305A"/>
        <rFont val="Arial"/>
        <family val="0"/>
        <charset val="1"/>
      </rPr>
      <t xml:space="preserve">7. </t>
    </r>
    <r>
      <rPr>
        <b val="true"/>
        <sz val="14"/>
        <color rgb="FF12305A"/>
        <rFont val="Noto Sans CJK SC"/>
        <family val="2"/>
      </rPr>
      <t xml:space="preserve">시나리오 비교</t>
    </r>
  </si>
  <si>
    <r>
      <rPr>
        <i val="true"/>
        <sz val="9"/>
        <color rgb="FF5B6779"/>
        <rFont val="Noto Sans CJK SC"/>
        <family val="2"/>
      </rPr>
      <t xml:space="preserve">보수 </t>
    </r>
    <r>
      <rPr>
        <i val="true"/>
        <sz val="9"/>
        <color rgb="FF5B6779"/>
        <rFont val="Arial"/>
        <family val="0"/>
        <charset val="1"/>
      </rPr>
      <t xml:space="preserve">/ </t>
    </r>
    <r>
      <rPr>
        <i val="true"/>
        <sz val="9"/>
        <color rgb="FF5B6779"/>
        <rFont val="Noto Sans CJK SC"/>
        <family val="2"/>
      </rPr>
      <t xml:space="preserve">기본 </t>
    </r>
    <r>
      <rPr>
        <i val="true"/>
        <sz val="9"/>
        <color rgb="FF5B6779"/>
        <rFont val="Arial"/>
        <family val="0"/>
        <charset val="1"/>
      </rPr>
      <t xml:space="preserve">/ </t>
    </r>
    <r>
      <rPr>
        <i val="true"/>
        <sz val="9"/>
        <color rgb="FF5B6779"/>
        <rFont val="Noto Sans CJK SC"/>
        <family val="2"/>
      </rPr>
      <t xml:space="preserve">규제지역 특례 최대</t>
    </r>
  </si>
  <si>
    <t xml:space="preserve">설명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</si>
  <si>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Noto Sans CJK SC"/>
        <family val="2"/>
      </rPr>
      <t xml:space="preserve">차 감정 변동</t>
    </r>
  </si>
  <si>
    <t xml:space="preserve">매매예정금액 대비</t>
  </si>
  <si>
    <t xml:space="preserve">공사비 변동</t>
  </si>
  <si>
    <t xml:space="preserve">견적 초과분</t>
  </si>
  <si>
    <r>
      <rPr>
        <sz val="10"/>
        <color rgb="FF000000"/>
        <rFont val="Noto Sans CJK SC"/>
        <family val="2"/>
      </rPr>
      <t xml:space="preserve">준공 지연</t>
    </r>
    <r>
      <rPr>
        <sz val="10"/>
        <color rgb="FF000000"/>
        <rFont val="Arial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개월</t>
    </r>
    <r>
      <rPr>
        <sz val="10"/>
        <color rgb="FF000000"/>
        <rFont val="Arial"/>
        <family val="0"/>
        <charset val="1"/>
      </rPr>
      <t xml:space="preserve">)</t>
    </r>
  </si>
  <si>
    <t xml:space="preserve">금융비 가산</t>
  </si>
  <si>
    <r>
      <rPr>
        <sz val="9"/>
        <color rgb="FF5B6779"/>
        <rFont val="Noto Sans CJK SC"/>
        <family val="2"/>
      </rPr>
      <t xml:space="preserve">지연 개월 </t>
    </r>
    <r>
      <rPr>
        <sz val="9"/>
        <color rgb="FF5B6779"/>
        <rFont val="Arial"/>
        <family val="0"/>
        <charset val="1"/>
      </rPr>
      <t xml:space="preserve">× </t>
    </r>
    <r>
      <rPr>
        <sz val="9"/>
        <color rgb="FF5B6779"/>
        <rFont val="Noto Sans CJK SC"/>
        <family val="2"/>
      </rPr>
      <t xml:space="preserve">차입 이자</t>
    </r>
  </si>
  <si>
    <t xml:space="preserve">수익률</t>
  </si>
  <si>
    <t xml:space="preserve">세대당 순이익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</si>
</sst>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#,##0.0"/>
    <numFmt numFmtId="168" formatCode="#,##0;\(#,##0\);\-"/>
    <numFmt numFmtId="169" formatCode="0.00"/>
    <numFmt numFmtId="170" formatCode="\+0%;\-0%;0%"/>
    <numFmt numFmtId="171" formatCode="\+0.0%;\-0.0%;0%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2305A"/>
      <name val="Noto Sans CJK SC"/>
      <family val="2"/>
    </font>
    <font>
      <b val="true"/>
      <sz val="20"/>
      <color rgb="FF12305A"/>
      <name val="Arial"/>
      <family val="0"/>
      <charset val="1"/>
    </font>
    <font>
      <sz val="11"/>
      <color rgb="FF5B6779"/>
      <name val="Arial"/>
      <family val="0"/>
      <charset val="1"/>
    </font>
    <font>
      <sz val="11"/>
      <color rgb="FF5B6779"/>
      <name val="Noto Sans CJK SC"/>
      <family val="2"/>
    </font>
    <font>
      <i val="true"/>
      <sz val="9"/>
      <color rgb="FF8B96A8"/>
      <name val="Noto Sans CJK SC"/>
      <family val="2"/>
    </font>
    <font>
      <i val="true"/>
      <sz val="9"/>
      <color rgb="FF8B96A8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color rgb="FF12305A"/>
      <name val="Arial"/>
      <family val="0"/>
      <charset val="1"/>
    </font>
    <font>
      <sz val="10"/>
      <color rgb="FF12305A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Arial"/>
      <family val="0"/>
      <charset val="1"/>
    </font>
    <font>
      <b val="true"/>
      <sz val="10"/>
      <color rgb="FF12305A"/>
      <name val="Noto Sans CJK SC"/>
      <family val="2"/>
    </font>
    <font>
      <sz val="10"/>
      <color rgb="FF0000FF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8000"/>
      <name val="Noto Sans CJK SC"/>
      <family val="2"/>
    </font>
    <font>
      <sz val="10"/>
      <color rgb="FF008000"/>
      <name val="Arial"/>
      <family val="0"/>
      <charset val="1"/>
    </font>
    <font>
      <b val="true"/>
      <sz val="10"/>
      <color rgb="FFE4572E"/>
      <name val="Noto Sans CJK SC"/>
      <family val="2"/>
    </font>
    <font>
      <sz val="9"/>
      <color rgb="FF5B6779"/>
      <name val="Noto Sans CJK SC"/>
      <family val="2"/>
    </font>
    <font>
      <sz val="9"/>
      <color rgb="FF5B6779"/>
      <name val="Arial"/>
      <family val="0"/>
      <charset val="1"/>
    </font>
    <font>
      <b val="true"/>
      <sz val="14"/>
      <color rgb="FF12305A"/>
      <name val="Noto Sans CJK SC"/>
      <family val="2"/>
    </font>
    <font>
      <b val="true"/>
      <sz val="14"/>
      <color rgb="FF12305A"/>
      <name val="Arial"/>
      <family val="0"/>
      <charset val="1"/>
    </font>
    <font>
      <i val="true"/>
      <sz val="9"/>
      <color rgb="FF5B6779"/>
      <name val="Noto Sans CJK SC"/>
      <family val="2"/>
    </font>
    <font>
      <i val="true"/>
      <sz val="9"/>
      <color rgb="FF5B6779"/>
      <name val="Arial"/>
      <family val="0"/>
      <charset val="1"/>
    </font>
    <font>
      <b val="true"/>
      <sz val="10"/>
      <color rgb="FF000000"/>
      <name val="Noto Sans CJK SC"/>
      <family val="2"/>
    </font>
    <font>
      <b val="true"/>
      <sz val="10"/>
      <color rgb="FF000000"/>
      <name val="Arial"/>
      <family val="0"/>
      <charset val="1"/>
    </font>
    <font>
      <sz val="11"/>
      <color theme="1"/>
      <name val="Noto Sans CJK SC"/>
      <family val="2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name val="Noto Sans CJK S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2305A"/>
        <bgColor rgb="FF333333"/>
      </patternFill>
    </fill>
    <fill>
      <patternFill patternType="solid">
        <fgColor rgb="FFF3F6FB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F"/>
      </left>
      <right style="thin">
        <color rgb="FFC9D2DF"/>
      </right>
      <top style="thin">
        <color rgb="FFC9D2DF"/>
      </top>
      <bottom style="thin">
        <color rgb="FFC9D2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3F6FB"/>
      <rgbColor rgb="FFCCFFFF"/>
      <rgbColor rgb="FF660066"/>
      <rgbColor rgb="FFFF8080"/>
      <rgbColor rgb="FF0066CC"/>
      <rgbColor rgb="FFC9D2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4BACC6"/>
      <rgbColor rgb="FF9BBB59"/>
      <rgbColor rgb="FFFFCC00"/>
      <rgbColor rgb="FFF79646"/>
      <rgbColor rgb="FFE4572E"/>
      <rgbColor rgb="FF5B6779"/>
      <rgbColor rgb="FF8B96A8"/>
      <rgbColor rgb="FF12305A"/>
      <rgbColor rgb="FF4F81BD"/>
      <rgbColor rgb="FF003300"/>
      <rgbColor rgb="FF333300"/>
      <rgbColor rgb="FF993300"/>
      <rgbColor rgb="FF8064A2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시나리오별 매매대금·총사업비·순이익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대시보드!B12</c:f>
              <c:strCache>
                <c:ptCount val="1"/>
                <c:pt idx="0">
                  <c:v>매매대금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대시보드!$A$13:$A$15</c:f>
              <c:strCache>
                <c:ptCount val="3"/>
                <c:pt idx="0">
                  <c:v>보수</c:v>
                </c:pt>
                <c:pt idx="1">
                  <c:v>기본</c:v>
                </c:pt>
                <c:pt idx="2">
                  <c:v>특례 최대</c:v>
                </c:pt>
              </c:strCache>
            </c:strRef>
          </c:cat>
          <c:val>
            <c:numRef>
              <c:f>대시보드!$B$13:$B$15</c:f>
              <c:numCache>
                <c:formatCode>#,##0;\(#,##0\);\-</c:formatCode>
                <c:ptCount val="3"/>
                <c:pt idx="0">
                  <c:v>4276800000</c:v>
                </c:pt>
                <c:pt idx="1">
                  <c:v>4752000000</c:v>
                </c:pt>
                <c:pt idx="2">
                  <c:v>6011280000</c:v>
                </c:pt>
              </c:numCache>
            </c:numRef>
          </c:val>
        </c:ser>
        <c:ser>
          <c:idx val="1"/>
          <c:order val="1"/>
          <c:tx>
            <c:strRef>
              <c:f>대시보드!C12</c:f>
              <c:strCache>
                <c:ptCount val="1"/>
                <c:pt idx="0">
                  <c:v>총사업비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대시보드!$A$13:$A$15</c:f>
              <c:strCache>
                <c:ptCount val="3"/>
                <c:pt idx="0">
                  <c:v>보수</c:v>
                </c:pt>
                <c:pt idx="1">
                  <c:v>기본</c:v>
                </c:pt>
                <c:pt idx="2">
                  <c:v>특례 최대</c:v>
                </c:pt>
              </c:strCache>
            </c:strRef>
          </c:cat>
          <c:val>
            <c:numRef>
              <c:f>대시보드!$C$13:$C$15</c:f>
              <c:numCache>
                <c:formatCode>#,##0;\(#,##0\);\-</c:formatCode>
                <c:ptCount val="3"/>
                <c:pt idx="0">
                  <c:v>4535056615.8</c:v>
                </c:pt>
                <c:pt idx="1">
                  <c:v>4272431615.8</c:v>
                </c:pt>
                <c:pt idx="2">
                  <c:v>4272431615.8</c:v>
                </c:pt>
              </c:numCache>
            </c:numRef>
          </c:val>
        </c:ser>
        <c:ser>
          <c:idx val="2"/>
          <c:order val="2"/>
          <c:tx>
            <c:strRef>
              <c:f>대시보드!D12</c:f>
              <c:strCache>
                <c:ptCount val="1"/>
                <c:pt idx="0">
                  <c:v>순이익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대시보드!$A$13:$A$15</c:f>
              <c:strCache>
                <c:ptCount val="3"/>
                <c:pt idx="0">
                  <c:v>보수</c:v>
                </c:pt>
                <c:pt idx="1">
                  <c:v>기본</c:v>
                </c:pt>
                <c:pt idx="2">
                  <c:v>특례 최대</c:v>
                </c:pt>
              </c:strCache>
            </c:strRef>
          </c:cat>
          <c:val>
            <c:numRef>
              <c:f>대시보드!$D$13:$D$15</c:f>
              <c:numCache>
                <c:formatCode>#,##0;\(#,##0\);\-</c:formatCode>
                <c:ptCount val="3"/>
                <c:pt idx="0">
                  <c:v>-258256615.8</c:v>
                </c:pt>
                <c:pt idx="1">
                  <c:v>479568384.2</c:v>
                </c:pt>
                <c:pt idx="2">
                  <c:v>1738848384.2</c:v>
                </c:pt>
              </c:numCache>
            </c:numRef>
          </c:val>
        </c:ser>
        <c:gapWidth val="150"/>
        <c:overlap val="0"/>
        <c:axId val="5600362"/>
        <c:axId val="48902084"/>
      </c:barChart>
      <c:catAx>
        <c:axId val="56003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902084"/>
        <c:crosses val="autoZero"/>
        <c:auto val="1"/>
        <c:lblAlgn val="ctr"/>
        <c:lblOffset val="100"/>
        <c:noMultiLvlLbl val="0"/>
      </c:catAx>
      <c:valAx>
        <c:axId val="489020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원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003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누적 현금 (분기)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대시보드!B18</c:f>
              <c:strCache>
                <c:ptCount val="1"/>
                <c:pt idx="0">
                  <c:v>누적 현금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대시보드!$A$19:$A$30</c:f>
              <c:strCache>
                <c:ptCount val="12"/>
                <c:pt idx="0">
                  <c:v>Q0</c:v>
                </c:pt>
                <c:pt idx="1">
                  <c:v>Q1</c:v>
                </c:pt>
                <c:pt idx="2">
                  <c:v>Q2</c:v>
                </c:pt>
                <c:pt idx="3">
                  <c:v>Q3</c:v>
                </c:pt>
                <c:pt idx="4">
                  <c:v>Q4</c:v>
                </c:pt>
                <c:pt idx="5">
                  <c:v>Q5</c:v>
                </c:pt>
                <c:pt idx="6">
                  <c:v>Q6</c:v>
                </c:pt>
                <c:pt idx="7">
                  <c:v>Q7</c:v>
                </c:pt>
                <c:pt idx="8">
                  <c:v>Q8</c:v>
                </c:pt>
                <c:pt idx="9">
                  <c:v>Q9</c:v>
                </c:pt>
                <c:pt idx="10">
                  <c:v>Q10</c:v>
                </c:pt>
                <c:pt idx="11">
                  <c:v>Q11</c:v>
                </c:pt>
              </c:strCache>
            </c:strRef>
          </c:cat>
          <c:val>
            <c:numRef>
              <c:f>대시보드!$B$19:$B$30</c:f>
              <c:numCache>
                <c:formatCode>#,##0;\(#,##0\);\-</c:formatCode>
                <c:ptCount val="12"/>
                <c:pt idx="0">
                  <c:v>-456430000</c:v>
                </c:pt>
                <c:pt idx="1">
                  <c:v>835080000</c:v>
                </c:pt>
                <c:pt idx="2">
                  <c:v>426567500</c:v>
                </c:pt>
                <c:pt idx="3">
                  <c:v>18055000</c:v>
                </c:pt>
                <c:pt idx="4">
                  <c:v>940102500</c:v>
                </c:pt>
                <c:pt idx="5">
                  <c:v>531590000</c:v>
                </c:pt>
                <c:pt idx="6">
                  <c:v>123077500</c:v>
                </c:pt>
                <c:pt idx="7">
                  <c:v>-285435000</c:v>
                </c:pt>
                <c:pt idx="8">
                  <c:v>-486206615.8</c:v>
                </c:pt>
                <c:pt idx="9">
                  <c:v>926880884.2</c:v>
                </c:pt>
                <c:pt idx="10">
                  <c:v>479568384.2</c:v>
                </c:pt>
                <c:pt idx="11">
                  <c:v>479568384.2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5255007"/>
        <c:axId val="32079390"/>
      </c:lineChart>
      <c:catAx>
        <c:axId val="35255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079390"/>
        <c:crosses val="autoZero"/>
        <c:auto val="1"/>
        <c:lblAlgn val="ctr"/>
        <c:lblOffset val="100"/>
        <c:noMultiLvlLbl val="0"/>
      </c:catAx>
      <c:valAx>
        <c:axId val="320793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원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2550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분기별 지출 vs 수입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대시보드!C18</c:f>
              <c:strCache>
                <c:ptCount val="1"/>
                <c:pt idx="0">
                  <c:v>지출 합계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대시보드!$A$19:$A$30</c:f>
              <c:strCache>
                <c:ptCount val="12"/>
                <c:pt idx="0">
                  <c:v>Q0</c:v>
                </c:pt>
                <c:pt idx="1">
                  <c:v>Q1</c:v>
                </c:pt>
                <c:pt idx="2">
                  <c:v>Q2</c:v>
                </c:pt>
                <c:pt idx="3">
                  <c:v>Q3</c:v>
                </c:pt>
                <c:pt idx="4">
                  <c:v>Q4</c:v>
                </c:pt>
                <c:pt idx="5">
                  <c:v>Q5</c:v>
                </c:pt>
                <c:pt idx="6">
                  <c:v>Q6</c:v>
                </c:pt>
                <c:pt idx="7">
                  <c:v>Q7</c:v>
                </c:pt>
                <c:pt idx="8">
                  <c:v>Q8</c:v>
                </c:pt>
                <c:pt idx="9">
                  <c:v>Q9</c:v>
                </c:pt>
                <c:pt idx="10">
                  <c:v>Q10</c:v>
                </c:pt>
                <c:pt idx="11">
                  <c:v>Q11</c:v>
                </c:pt>
              </c:strCache>
            </c:strRef>
          </c:cat>
          <c:val>
            <c:numRef>
              <c:f>대시보드!$C$19:$C$30</c:f>
              <c:numCache>
                <c:formatCode>#,##0;\(#,##0\);\-</c:formatCode>
                <c:ptCount val="12"/>
                <c:pt idx="0">
                  <c:v>1366430000</c:v>
                </c:pt>
                <c:pt idx="1">
                  <c:v>216617500</c:v>
                </c:pt>
                <c:pt idx="2">
                  <c:v>396000000</c:v>
                </c:pt>
                <c:pt idx="3">
                  <c:v>396000000</c:v>
                </c:pt>
                <c:pt idx="4">
                  <c:v>396000000</c:v>
                </c:pt>
                <c:pt idx="5">
                  <c:v>396000000</c:v>
                </c:pt>
                <c:pt idx="6">
                  <c:v>396000000</c:v>
                </c:pt>
                <c:pt idx="7">
                  <c:v>396000000</c:v>
                </c:pt>
                <c:pt idx="8">
                  <c:v>188259115.8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대시보드!D18</c:f>
              <c:strCache>
                <c:ptCount val="1"/>
                <c:pt idx="0">
                  <c:v>수입 합계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대시보드!$A$19:$A$30</c:f>
              <c:strCache>
                <c:ptCount val="12"/>
                <c:pt idx="0">
                  <c:v>Q0</c:v>
                </c:pt>
                <c:pt idx="1">
                  <c:v>Q1</c:v>
                </c:pt>
                <c:pt idx="2">
                  <c:v>Q2</c:v>
                </c:pt>
                <c:pt idx="3">
                  <c:v>Q3</c:v>
                </c:pt>
                <c:pt idx="4">
                  <c:v>Q4</c:v>
                </c:pt>
                <c:pt idx="5">
                  <c:v>Q5</c:v>
                </c:pt>
                <c:pt idx="6">
                  <c:v>Q6</c:v>
                </c:pt>
                <c:pt idx="7">
                  <c:v>Q7</c:v>
                </c:pt>
                <c:pt idx="8">
                  <c:v>Q8</c:v>
                </c:pt>
                <c:pt idx="9">
                  <c:v>Q9</c:v>
                </c:pt>
                <c:pt idx="10">
                  <c:v>Q10</c:v>
                </c:pt>
                <c:pt idx="11">
                  <c:v>Q11</c:v>
                </c:pt>
              </c:strCache>
            </c:strRef>
          </c:cat>
          <c:val>
            <c:numRef>
              <c:f>대시보드!$D$19:$D$30</c:f>
              <c:numCache>
                <c:formatCode>#,##0;\(#,##0\);\-</c:formatCode>
                <c:ptCount val="12"/>
                <c:pt idx="0">
                  <c:v>0</c:v>
                </c:pt>
                <c:pt idx="1">
                  <c:v>1520640000</c:v>
                </c:pt>
                <c:pt idx="2">
                  <c:v>0</c:v>
                </c:pt>
                <c:pt idx="3">
                  <c:v>0</c:v>
                </c:pt>
                <c:pt idx="4">
                  <c:v>1330560000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1425600000</c:v>
                </c:pt>
                <c:pt idx="10">
                  <c:v>475200000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2971679"/>
        <c:axId val="16733592"/>
      </c:barChart>
      <c:catAx>
        <c:axId val="92971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733592"/>
        <c:crosses val="autoZero"/>
        <c:auto val="1"/>
        <c:lblAlgn val="ctr"/>
        <c:lblOffset val="100"/>
        <c:noMultiLvlLbl val="0"/>
      </c:catAx>
      <c:valAx>
        <c:axId val="167335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97167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총사업비 구성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대시보드!B33</c:f>
              <c:strCache>
                <c:ptCount val="1"/>
                <c:pt idx="0">
                  <c:v>금액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대시보드!$A$34:$A$39</c:f>
              <c:strCache>
                <c:ptCount val="6"/>
                <c:pt idx="0">
                  <c:v>토지비</c:v>
                </c:pt>
                <c:pt idx="1">
                  <c:v>취득세·등기</c:v>
                </c:pt>
                <c:pt idx="2">
                  <c:v>공사비</c:v>
                </c:pt>
                <c:pt idx="3">
                  <c:v>설계·인허가</c:v>
                </c:pt>
                <c:pt idx="4">
                  <c:v>금융·컨설팅</c:v>
                </c:pt>
                <c:pt idx="5">
                  <c:v>예비비</c:v>
                </c:pt>
              </c:strCache>
            </c:strRef>
          </c:cat>
          <c:val>
            <c:numRef>
              <c:f>대시보드!$B$34:$B$39</c:f>
              <c:numCache>
                <c:formatCode>#,##0;\(#,##0\);\-</c:formatCode>
                <c:ptCount val="6"/>
                <c:pt idx="0">
                  <c:v>1300000000</c:v>
                </c:pt>
                <c:pt idx="1">
                  <c:v>130249360</c:v>
                </c:pt>
                <c:pt idx="2">
                  <c:v>2376000000</c:v>
                </c:pt>
                <c:pt idx="3">
                  <c:v>213840000</c:v>
                </c:pt>
                <c:pt idx="4">
                  <c:v>127902500</c:v>
                </c:pt>
                <c:pt idx="5">
                  <c:v>124439755.8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106560</xdr:rowOff>
    </xdr:from>
    <xdr:to>
      <xdr:col>16</xdr:col>
      <xdr:colOff>364680</xdr:colOff>
      <xdr:row>16</xdr:row>
      <xdr:rowOff>128520</xdr:rowOff>
    </xdr:to>
    <xdr:graphicFrame>
      <xdr:nvGraphicFramePr>
        <xdr:cNvPr id="0" name="Chart 1"/>
        <xdr:cNvGraphicFramePr/>
      </xdr:nvGraphicFramePr>
      <xdr:xfrm>
        <a:off x="794196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18</xdr:row>
      <xdr:rowOff>106560</xdr:rowOff>
    </xdr:from>
    <xdr:to>
      <xdr:col>16</xdr:col>
      <xdr:colOff>364680</xdr:colOff>
      <xdr:row>33</xdr:row>
      <xdr:rowOff>128880</xdr:rowOff>
    </xdr:to>
    <xdr:graphicFrame>
      <xdr:nvGraphicFramePr>
        <xdr:cNvPr id="1" name="Chart 2"/>
        <xdr:cNvGraphicFramePr/>
      </xdr:nvGraphicFramePr>
      <xdr:xfrm>
        <a:off x="7941960" y="36194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35</xdr:row>
      <xdr:rowOff>79200</xdr:rowOff>
    </xdr:from>
    <xdr:to>
      <xdr:col>16</xdr:col>
      <xdr:colOff>364680</xdr:colOff>
      <xdr:row>50</xdr:row>
      <xdr:rowOff>46800</xdr:rowOff>
    </xdr:to>
    <xdr:graphicFrame>
      <xdr:nvGraphicFramePr>
        <xdr:cNvPr id="2" name="Chart 3"/>
        <xdr:cNvGraphicFramePr/>
      </xdr:nvGraphicFramePr>
      <xdr:xfrm>
        <a:off x="7941960" y="68580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40</xdr:row>
      <xdr:rowOff>24840</xdr:rowOff>
    </xdr:from>
    <xdr:to>
      <xdr:col>3</xdr:col>
      <xdr:colOff>513360</xdr:colOff>
      <xdr:row>55</xdr:row>
      <xdr:rowOff>46800</xdr:rowOff>
    </xdr:to>
    <xdr:graphicFrame>
      <xdr:nvGraphicFramePr>
        <xdr:cNvPr id="3" name="Chart 4"/>
        <xdr:cNvGraphicFramePr/>
      </xdr:nvGraphicFramePr>
      <xdr:xfrm>
        <a:off x="0" y="781056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60"/>
  </cols>
  <sheetData>
    <row r="2" customFormat="false" ht="30.55" hidden="false" customHeight="false" outlineLevel="0" collapsed="false">
      <c r="B2" s="1" t="s">
        <v>0</v>
      </c>
    </row>
    <row r="3" customFormat="false" ht="17.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4" t="s">
        <v>4</v>
      </c>
    </row>
    <row r="7" customFormat="false" ht="15" hidden="false" customHeight="false" outlineLevel="0" collapsed="false">
      <c r="B7" s="5" t="s">
        <v>5</v>
      </c>
      <c r="C7" s="6" t="s">
        <v>6</v>
      </c>
    </row>
    <row r="8" customFormat="false" ht="15" hidden="false" customHeight="false" outlineLevel="0" collapsed="false">
      <c r="B8" s="7" t="s">
        <v>7</v>
      </c>
      <c r="C8" s="8" t="s">
        <v>8</v>
      </c>
    </row>
    <row r="9" customFormat="false" ht="15" hidden="false" customHeight="false" outlineLevel="0" collapsed="false">
      <c r="B9" s="5" t="s">
        <v>9</v>
      </c>
      <c r="C9" s="6" t="s">
        <v>10</v>
      </c>
    </row>
    <row r="10" customFormat="false" ht="15" hidden="false" customHeight="false" outlineLevel="0" collapsed="false">
      <c r="B10" s="7" t="s">
        <v>11</v>
      </c>
      <c r="C10" s="9" t="s">
        <v>12</v>
      </c>
    </row>
    <row r="11" customFormat="false" ht="15" hidden="false" customHeight="false" outlineLevel="0" collapsed="false">
      <c r="B11" s="5" t="s">
        <v>13</v>
      </c>
      <c r="C11" s="6" t="s">
        <v>14</v>
      </c>
    </row>
    <row r="12" customFormat="false" ht="15" hidden="false" customHeight="false" outlineLevel="0" collapsed="false">
      <c r="B12" s="7" t="s">
        <v>15</v>
      </c>
      <c r="C12" s="8" t="s">
        <v>16</v>
      </c>
    </row>
    <row r="13" customFormat="false" ht="15" hidden="false" customHeight="false" outlineLevel="0" collapsed="false">
      <c r="B13" s="5" t="s">
        <v>17</v>
      </c>
      <c r="C13" s="6" t="s">
        <v>18</v>
      </c>
    </row>
    <row r="14" customFormat="false" ht="15" hidden="false" customHeight="false" outlineLevel="0" collapsed="false">
      <c r="B14" s="10" t="s">
        <v>19</v>
      </c>
      <c r="C14" s="8" t="s">
        <v>20</v>
      </c>
    </row>
    <row r="17" customFormat="false" ht="15" hidden="false" customHeight="false" outlineLevel="0" collapsed="false">
      <c r="B17" s="11" t="s">
        <v>21</v>
      </c>
    </row>
    <row r="18" customFormat="false" ht="15" hidden="false" customHeight="false" outlineLevel="0" collapsed="false">
      <c r="B18" s="12" t="s">
        <v>22</v>
      </c>
    </row>
    <row r="19" customFormat="false" ht="15" hidden="false" customHeight="false" outlineLevel="0" collapsed="false">
      <c r="B19" s="8" t="s">
        <v>23</v>
      </c>
    </row>
    <row r="20" customFormat="false" ht="15" hidden="false" customHeight="false" outlineLevel="0" collapsed="false">
      <c r="B20" s="13" t="s">
        <v>24</v>
      </c>
    </row>
    <row r="21" customFormat="false" ht="15" hidden="false" customHeight="false" outlineLevel="0" collapsed="false">
      <c r="B21" s="14" t="s">
        <v>25</v>
      </c>
    </row>
    <row r="23" customFormat="false" ht="15" hidden="false" customHeight="false" outlineLevel="0" collapsed="false">
      <c r="B23" s="15" t="s">
        <v>26</v>
      </c>
    </row>
    <row r="24" customFormat="false" ht="15" hidden="false" customHeight="true" outlineLevel="0" collapsed="false">
      <c r="B24" s="16" t="s">
        <v>27</v>
      </c>
      <c r="C24" s="16"/>
    </row>
    <row r="25" customFormat="false" ht="15" hidden="false" customHeight="false" outlineLevel="0" collapsed="false">
      <c r="B25" s="16"/>
      <c r="C25" s="16"/>
    </row>
    <row r="26" customFormat="false" ht="15" hidden="false" customHeight="false" outlineLevel="0" collapsed="false">
      <c r="B26" s="16"/>
      <c r="C26" s="16"/>
    </row>
    <row r="27" customFormat="false" ht="15" hidden="false" customHeight="false" outlineLevel="0" collapsed="false">
      <c r="B27" s="16"/>
      <c r="C27" s="16"/>
    </row>
  </sheetData>
  <mergeCells count="1">
    <mergeCell ref="B24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5" min="5" style="0" width="20"/>
  </cols>
  <sheetData>
    <row r="1" customFormat="false" ht="21.6" hidden="false" customHeight="false" outlineLevel="0" collapsed="false">
      <c r="A1" s="17" t="s">
        <v>28</v>
      </c>
    </row>
    <row r="2" customFormat="false" ht="15" hidden="false" customHeight="false" outlineLevel="0" collapsed="false">
      <c r="A2" s="18" t="s">
        <v>29</v>
      </c>
    </row>
    <row r="4" customFormat="false" ht="15" hidden="false" customHeight="false" outlineLevel="0" collapsed="false">
      <c r="A4" s="19" t="s">
        <v>30</v>
      </c>
      <c r="B4" s="20" t="n">
        <f aca="false">'2.세대프로그램'!B10</f>
        <v>20</v>
      </c>
      <c r="D4" s="19" t="s">
        <v>31</v>
      </c>
      <c r="E4" s="21" t="n">
        <f aca="false">'4.매입대금'!B15</f>
        <v>0.112247176157599</v>
      </c>
    </row>
    <row r="5" customFormat="false" ht="15" hidden="false" customHeight="false" outlineLevel="0" collapsed="false">
      <c r="A5" s="19" t="s">
        <v>32</v>
      </c>
      <c r="B5" s="22" t="n">
        <f aca="false">'2.세대프로그램'!B4</f>
        <v>792</v>
      </c>
      <c r="D5" s="19" t="s">
        <v>33</v>
      </c>
      <c r="E5" s="21" t="n">
        <f aca="false">'4.매입대금'!B16</f>
        <v>0.986346891662349</v>
      </c>
    </row>
    <row r="6" customFormat="false" ht="15" hidden="false" customHeight="false" outlineLevel="0" collapsed="false">
      <c r="A6" s="19" t="s">
        <v>34</v>
      </c>
      <c r="B6" s="23" t="n">
        <f aca="false">'3.사업비'!B15</f>
        <v>4272431615.8</v>
      </c>
      <c r="D6" s="19" t="s">
        <v>35</v>
      </c>
      <c r="E6" s="23" t="n">
        <f aca="false">'5.현금흐름'!B26</f>
        <v>486206615.8</v>
      </c>
    </row>
    <row r="7" customFormat="false" ht="15" hidden="false" customHeight="false" outlineLevel="0" collapsed="false">
      <c r="A7" s="24" t="s">
        <v>36</v>
      </c>
      <c r="B7" s="23" t="n">
        <f aca="false">'4.매입대금'!B4</f>
        <v>4752000000</v>
      </c>
      <c r="D7" s="19" t="s">
        <v>37</v>
      </c>
      <c r="E7" s="23" t="n">
        <f aca="false">'5.현금흐름'!N10</f>
        <v>1520640000</v>
      </c>
    </row>
    <row r="8" customFormat="false" ht="15" hidden="false" customHeight="false" outlineLevel="0" collapsed="false">
      <c r="A8" s="19" t="s">
        <v>38</v>
      </c>
      <c r="B8" s="25" t="n">
        <f aca="false">'4.매입대금'!B12</f>
        <v>4752000000</v>
      </c>
      <c r="D8" s="19" t="s">
        <v>39</v>
      </c>
      <c r="E8" s="23" t="n">
        <f aca="false">'7.시나리오'!D9</f>
        <v>1738848384.2</v>
      </c>
    </row>
    <row r="9" customFormat="false" ht="15" hidden="false" customHeight="false" outlineLevel="0" collapsed="false">
      <c r="A9" s="19" t="s">
        <v>40</v>
      </c>
      <c r="B9" s="25" t="n">
        <f aca="false">'4.매입대금'!B14</f>
        <v>479568384.2</v>
      </c>
      <c r="D9" s="19" t="s">
        <v>41</v>
      </c>
      <c r="E9" s="23" t="n">
        <f aca="false">'7.시나리오'!B9</f>
        <v>-258256615.8</v>
      </c>
    </row>
    <row r="12" customFormat="false" ht="15" hidden="false" customHeight="false" outlineLevel="0" collapsed="false">
      <c r="A12" s="26" t="s">
        <v>42</v>
      </c>
      <c r="B12" s="26" t="s">
        <v>43</v>
      </c>
      <c r="C12" s="26" t="s">
        <v>34</v>
      </c>
      <c r="D12" s="26" t="s">
        <v>40</v>
      </c>
    </row>
    <row r="13" customFormat="false" ht="15" hidden="false" customHeight="false" outlineLevel="0" collapsed="false">
      <c r="A13" s="27" t="s">
        <v>44</v>
      </c>
      <c r="B13" s="28" t="n">
        <f aca="false">'7.시나리오'!B7</f>
        <v>4276800000</v>
      </c>
      <c r="C13" s="28" t="n">
        <f aca="false">'7.시나리오'!B8</f>
        <v>4535056615.8</v>
      </c>
      <c r="D13" s="28" t="n">
        <f aca="false">'7.시나리오'!B9</f>
        <v>-258256615.8</v>
      </c>
    </row>
    <row r="14" customFormat="false" ht="15" hidden="false" customHeight="false" outlineLevel="0" collapsed="false">
      <c r="A14" s="27" t="s">
        <v>45</v>
      </c>
      <c r="B14" s="28" t="n">
        <f aca="false">'7.시나리오'!C7</f>
        <v>4752000000</v>
      </c>
      <c r="C14" s="28" t="n">
        <f aca="false">'7.시나리오'!C8</f>
        <v>4272431615.8</v>
      </c>
      <c r="D14" s="28" t="n">
        <f aca="false">'7.시나리오'!C9</f>
        <v>479568384.2</v>
      </c>
    </row>
    <row r="15" customFormat="false" ht="15" hidden="false" customHeight="false" outlineLevel="0" collapsed="false">
      <c r="A15" s="27" t="s">
        <v>46</v>
      </c>
      <c r="B15" s="28" t="n">
        <f aca="false">'7.시나리오'!D7</f>
        <v>6011280000</v>
      </c>
      <c r="C15" s="28" t="n">
        <f aca="false">'7.시나리오'!D8</f>
        <v>4272431615.8</v>
      </c>
      <c r="D15" s="28" t="n">
        <f aca="false">'7.시나리오'!D9</f>
        <v>1738848384.2</v>
      </c>
    </row>
    <row r="18" customFormat="false" ht="15" hidden="false" customHeight="false" outlineLevel="0" collapsed="false">
      <c r="A18" s="26" t="s">
        <v>47</v>
      </c>
      <c r="B18" s="26" t="s">
        <v>48</v>
      </c>
      <c r="C18" s="26" t="s">
        <v>49</v>
      </c>
      <c r="D18" s="26" t="s">
        <v>50</v>
      </c>
    </row>
    <row r="19" customFormat="false" ht="15" hidden="false" customHeight="false" outlineLevel="0" collapsed="false">
      <c r="A19" s="0" t="s">
        <v>51</v>
      </c>
      <c r="B19" s="28" t="n">
        <f aca="false">'5.현금흐름'!B18</f>
        <v>-456430000</v>
      </c>
      <c r="C19" s="28" t="n">
        <f aca="false">'5.현금흐름'!B9</f>
        <v>1366430000</v>
      </c>
      <c r="D19" s="28" t="n">
        <f aca="false">'5.현금흐름'!B14</f>
        <v>0</v>
      </c>
    </row>
    <row r="20" customFormat="false" ht="15" hidden="false" customHeight="false" outlineLevel="0" collapsed="false">
      <c r="A20" s="0" t="s">
        <v>52</v>
      </c>
      <c r="B20" s="28" t="n">
        <f aca="false">'5.현금흐름'!C18</f>
        <v>835080000</v>
      </c>
      <c r="C20" s="28" t="n">
        <f aca="false">'5.현금흐름'!C9</f>
        <v>216617500</v>
      </c>
      <c r="D20" s="28" t="n">
        <f aca="false">'5.현금흐름'!C14</f>
        <v>1520640000</v>
      </c>
    </row>
    <row r="21" customFormat="false" ht="15" hidden="false" customHeight="false" outlineLevel="0" collapsed="false">
      <c r="A21" s="0" t="s">
        <v>53</v>
      </c>
      <c r="B21" s="28" t="n">
        <f aca="false">'5.현금흐름'!D18</f>
        <v>426567500</v>
      </c>
      <c r="C21" s="28" t="n">
        <f aca="false">'5.현금흐름'!D9</f>
        <v>396000000</v>
      </c>
      <c r="D21" s="28" t="n">
        <f aca="false">'5.현금흐름'!D14</f>
        <v>0</v>
      </c>
    </row>
    <row r="22" customFormat="false" ht="15" hidden="false" customHeight="false" outlineLevel="0" collapsed="false">
      <c r="A22" s="0" t="s">
        <v>54</v>
      </c>
      <c r="B22" s="28" t="n">
        <f aca="false">'5.현금흐름'!E18</f>
        <v>18055000</v>
      </c>
      <c r="C22" s="28" t="n">
        <f aca="false">'5.현금흐름'!E9</f>
        <v>396000000</v>
      </c>
      <c r="D22" s="28" t="n">
        <f aca="false">'5.현금흐름'!E14</f>
        <v>0</v>
      </c>
    </row>
    <row r="23" customFormat="false" ht="15" hidden="false" customHeight="false" outlineLevel="0" collapsed="false">
      <c r="A23" s="0" t="s">
        <v>55</v>
      </c>
      <c r="B23" s="28" t="n">
        <f aca="false">'5.현금흐름'!F18</f>
        <v>940102500</v>
      </c>
      <c r="C23" s="28" t="n">
        <f aca="false">'5.현금흐름'!F9</f>
        <v>396000000</v>
      </c>
      <c r="D23" s="28" t="n">
        <f aca="false">'5.현금흐름'!F14</f>
        <v>1330560000</v>
      </c>
    </row>
    <row r="24" customFormat="false" ht="15" hidden="false" customHeight="false" outlineLevel="0" collapsed="false">
      <c r="A24" s="0" t="s">
        <v>56</v>
      </c>
      <c r="B24" s="28" t="n">
        <f aca="false">'5.현금흐름'!G18</f>
        <v>531590000</v>
      </c>
      <c r="C24" s="28" t="n">
        <f aca="false">'5.현금흐름'!G9</f>
        <v>396000000</v>
      </c>
      <c r="D24" s="28" t="n">
        <f aca="false">'5.현금흐름'!G14</f>
        <v>0</v>
      </c>
    </row>
    <row r="25" customFormat="false" ht="15" hidden="false" customHeight="false" outlineLevel="0" collapsed="false">
      <c r="A25" s="0" t="s">
        <v>57</v>
      </c>
      <c r="B25" s="28" t="n">
        <f aca="false">'5.현금흐름'!H18</f>
        <v>123077500</v>
      </c>
      <c r="C25" s="28" t="n">
        <f aca="false">'5.현금흐름'!H9</f>
        <v>396000000</v>
      </c>
      <c r="D25" s="28" t="n">
        <f aca="false">'5.현금흐름'!H14</f>
        <v>0</v>
      </c>
    </row>
    <row r="26" customFormat="false" ht="15" hidden="false" customHeight="false" outlineLevel="0" collapsed="false">
      <c r="A26" s="0" t="s">
        <v>58</v>
      </c>
      <c r="B26" s="28" t="n">
        <f aca="false">'5.현금흐름'!I18</f>
        <v>-285435000</v>
      </c>
      <c r="C26" s="28" t="n">
        <f aca="false">'5.현금흐름'!I9</f>
        <v>396000000</v>
      </c>
      <c r="D26" s="28" t="n">
        <f aca="false">'5.현금흐름'!I14</f>
        <v>0</v>
      </c>
    </row>
    <row r="27" customFormat="false" ht="15" hidden="false" customHeight="false" outlineLevel="0" collapsed="false">
      <c r="A27" s="0" t="s">
        <v>59</v>
      </c>
      <c r="B27" s="28" t="n">
        <f aca="false">'5.현금흐름'!J18</f>
        <v>-486206615.8</v>
      </c>
      <c r="C27" s="28" t="n">
        <f aca="false">'5.현금흐름'!J9</f>
        <v>188259115.8</v>
      </c>
      <c r="D27" s="28" t="n">
        <f aca="false">'5.현금흐름'!J14</f>
        <v>0</v>
      </c>
    </row>
    <row r="28" customFormat="false" ht="15" hidden="false" customHeight="false" outlineLevel="0" collapsed="false">
      <c r="A28" s="0" t="s">
        <v>60</v>
      </c>
      <c r="B28" s="28" t="n">
        <f aca="false">'5.현금흐름'!K18</f>
        <v>926880884.2</v>
      </c>
      <c r="C28" s="28" t="n">
        <f aca="false">'5.현금흐름'!K9</f>
        <v>0</v>
      </c>
      <c r="D28" s="28" t="n">
        <f aca="false">'5.현금흐름'!K14</f>
        <v>1425600000</v>
      </c>
    </row>
    <row r="29" customFormat="false" ht="15" hidden="false" customHeight="false" outlineLevel="0" collapsed="false">
      <c r="A29" s="0" t="s">
        <v>61</v>
      </c>
      <c r="B29" s="28" t="n">
        <f aca="false">'5.현금흐름'!L18</f>
        <v>479568384.2</v>
      </c>
      <c r="C29" s="28" t="n">
        <f aca="false">'5.현금흐름'!L9</f>
        <v>0</v>
      </c>
      <c r="D29" s="28" t="n">
        <f aca="false">'5.현금흐름'!L14</f>
        <v>475200000</v>
      </c>
    </row>
    <row r="30" customFormat="false" ht="15" hidden="false" customHeight="false" outlineLevel="0" collapsed="false">
      <c r="A30" s="0" t="s">
        <v>62</v>
      </c>
      <c r="B30" s="28" t="n">
        <f aca="false">'5.현금흐름'!M18</f>
        <v>479568384.2</v>
      </c>
      <c r="C30" s="28" t="n">
        <f aca="false">'5.현금흐름'!M9</f>
        <v>0</v>
      </c>
      <c r="D30" s="28" t="n">
        <f aca="false">'5.현금흐름'!M14</f>
        <v>0</v>
      </c>
    </row>
    <row r="33" customFormat="false" ht="15" hidden="false" customHeight="false" outlineLevel="0" collapsed="false">
      <c r="A33" s="26" t="s">
        <v>63</v>
      </c>
      <c r="B33" s="26" t="s">
        <v>64</v>
      </c>
    </row>
    <row r="34" customFormat="false" ht="15" hidden="false" customHeight="false" outlineLevel="0" collapsed="false">
      <c r="A34" s="27" t="s">
        <v>65</v>
      </c>
      <c r="B34" s="28" t="n">
        <f aca="false">'3.사업비'!B4</f>
        <v>1300000000</v>
      </c>
    </row>
    <row r="35" customFormat="false" ht="17.15" hidden="false" customHeight="false" outlineLevel="0" collapsed="false">
      <c r="A35" s="27" t="s">
        <v>66</v>
      </c>
      <c r="B35" s="28" t="n">
        <f aca="false">'3.사업비'!B5+'3.사업비'!B6+'3.사업비'!B10</f>
        <v>130249360</v>
      </c>
    </row>
    <row r="36" customFormat="false" ht="15" hidden="false" customHeight="false" outlineLevel="0" collapsed="false">
      <c r="A36" s="27" t="s">
        <v>67</v>
      </c>
      <c r="B36" s="28" t="n">
        <f aca="false">'3.사업비'!B7</f>
        <v>2376000000</v>
      </c>
    </row>
    <row r="37" customFormat="false" ht="17.15" hidden="false" customHeight="false" outlineLevel="0" collapsed="false">
      <c r="A37" s="27" t="s">
        <v>68</v>
      </c>
      <c r="B37" s="28" t="n">
        <f aca="false">'3.사업비'!B8+'3.사업비'!B9</f>
        <v>213840000</v>
      </c>
    </row>
    <row r="38" customFormat="false" ht="17.15" hidden="false" customHeight="false" outlineLevel="0" collapsed="false">
      <c r="A38" s="27" t="s">
        <v>69</v>
      </c>
      <c r="B38" s="28" t="n">
        <f aca="false">'3.사업비'!B11+'3.사업비'!B12</f>
        <v>127902500</v>
      </c>
    </row>
    <row r="39" customFormat="false" ht="15" hidden="false" customHeight="false" outlineLevel="0" collapsed="false">
      <c r="A39" s="27" t="s">
        <v>70</v>
      </c>
      <c r="B39" s="28" t="n">
        <f aca="false">'3.사업비'!B14</f>
        <v>124439755.8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60"/>
  </cols>
  <sheetData>
    <row r="1" customFormat="false" ht="21.6" hidden="false" customHeight="false" outlineLevel="0" collapsed="false">
      <c r="A1" s="29" t="s">
        <v>71</v>
      </c>
    </row>
    <row r="2" customFormat="false" ht="15" hidden="false" customHeight="false" outlineLevel="0" collapsed="false">
      <c r="A2" s="18" t="s">
        <v>72</v>
      </c>
    </row>
    <row r="3" customFormat="false" ht="15" hidden="false" customHeight="false" outlineLevel="0" collapsed="false">
      <c r="A3" s="30" t="s">
        <v>73</v>
      </c>
      <c r="B3" s="30" t="s">
        <v>74</v>
      </c>
      <c r="C3" s="30" t="s">
        <v>75</v>
      </c>
      <c r="D3" s="30" t="s">
        <v>76</v>
      </c>
    </row>
    <row r="4" customFormat="false" ht="15" hidden="false" customHeight="false" outlineLevel="0" collapsed="false">
      <c r="A4" s="8" t="s">
        <v>77</v>
      </c>
      <c r="B4" s="31" t="n">
        <v>330</v>
      </c>
      <c r="C4" s="8" t="s">
        <v>78</v>
      </c>
      <c r="D4" s="32" t="s">
        <v>79</v>
      </c>
    </row>
    <row r="5" customFormat="false" ht="15" hidden="false" customHeight="false" outlineLevel="0" collapsed="false">
      <c r="A5" s="8" t="s">
        <v>80</v>
      </c>
      <c r="B5" s="12" t="s">
        <v>81</v>
      </c>
      <c r="C5" s="8"/>
      <c r="D5" s="32" t="s">
        <v>82</v>
      </c>
    </row>
    <row r="6" customFormat="false" ht="15" hidden="false" customHeight="false" outlineLevel="0" collapsed="false">
      <c r="A6" s="8" t="s">
        <v>83</v>
      </c>
      <c r="B6" s="31" t="n">
        <v>2</v>
      </c>
      <c r="C6" s="8" t="s">
        <v>84</v>
      </c>
      <c r="D6" s="32" t="s">
        <v>85</v>
      </c>
    </row>
    <row r="7" customFormat="false" ht="15" hidden="false" customHeight="false" outlineLevel="0" collapsed="false">
      <c r="A7" s="8" t="s">
        <v>86</v>
      </c>
      <c r="B7" s="31" t="n">
        <v>1.2</v>
      </c>
      <c r="C7" s="8" t="s">
        <v>84</v>
      </c>
      <c r="D7" s="32" t="s">
        <v>87</v>
      </c>
    </row>
    <row r="8" customFormat="false" ht="15" hidden="false" customHeight="false" outlineLevel="0" collapsed="false">
      <c r="A8" s="33" t="s">
        <v>88</v>
      </c>
      <c r="B8" s="8" t="n">
        <f aca="false">B6*B7</f>
        <v>2.4</v>
      </c>
      <c r="C8" s="8" t="s">
        <v>84</v>
      </c>
      <c r="D8" s="32" t="s">
        <v>89</v>
      </c>
    </row>
    <row r="9" customFormat="false" ht="15" hidden="false" customHeight="false" outlineLevel="0" collapsed="false">
      <c r="A9" s="8" t="s">
        <v>90</v>
      </c>
      <c r="B9" s="34" t="n">
        <v>0.75</v>
      </c>
      <c r="C9" s="8"/>
      <c r="D9" s="32" t="s">
        <v>91</v>
      </c>
    </row>
    <row r="10" customFormat="false" ht="15" hidden="false" customHeight="false" outlineLevel="0" collapsed="false">
      <c r="A10" s="8" t="s">
        <v>92</v>
      </c>
      <c r="B10" s="31" t="n">
        <v>24</v>
      </c>
      <c r="C10" s="8" t="s">
        <v>78</v>
      </c>
      <c r="D10" s="35" t="s">
        <v>93</v>
      </c>
    </row>
    <row r="11" customFormat="false" ht="15" hidden="false" customHeight="false" outlineLevel="0" collapsed="false">
      <c r="A11" s="8" t="s">
        <v>94</v>
      </c>
      <c r="B11" s="31" t="n">
        <v>36</v>
      </c>
      <c r="C11" s="8" t="s">
        <v>78</v>
      </c>
      <c r="D11" s="35" t="s">
        <v>95</v>
      </c>
    </row>
    <row r="12" customFormat="false" ht="15" hidden="false" customHeight="false" outlineLevel="0" collapsed="false">
      <c r="A12" s="8" t="s">
        <v>96</v>
      </c>
      <c r="B12" s="34" t="n">
        <v>0.6</v>
      </c>
      <c r="C12" s="8"/>
      <c r="D12" s="32" t="s">
        <v>97</v>
      </c>
    </row>
    <row r="13" customFormat="false" ht="15" hidden="false" customHeight="false" outlineLevel="0" collapsed="false">
      <c r="A13" s="8" t="s">
        <v>98</v>
      </c>
      <c r="B13" s="36" t="n">
        <v>1300000000</v>
      </c>
      <c r="C13" s="8" t="s">
        <v>99</v>
      </c>
      <c r="D13" s="32" t="s">
        <v>100</v>
      </c>
    </row>
    <row r="14" customFormat="false" ht="15" hidden="false" customHeight="false" outlineLevel="0" collapsed="false">
      <c r="A14" s="8" t="s">
        <v>101</v>
      </c>
      <c r="B14" s="34" t="n">
        <v>0.046</v>
      </c>
      <c r="C14" s="8"/>
      <c r="D14" s="32" t="s">
        <v>102</v>
      </c>
    </row>
    <row r="15" customFormat="false" ht="15" hidden="false" customHeight="false" outlineLevel="0" collapsed="false">
      <c r="A15" s="8" t="s">
        <v>103</v>
      </c>
      <c r="B15" s="34" t="n">
        <v>0.15</v>
      </c>
      <c r="C15" s="8"/>
      <c r="D15" s="32" t="s">
        <v>104</v>
      </c>
    </row>
    <row r="16" customFormat="false" ht="15" hidden="false" customHeight="false" outlineLevel="0" collapsed="false">
      <c r="A16" s="8" t="s">
        <v>105</v>
      </c>
      <c r="B16" s="36" t="n">
        <v>3000000</v>
      </c>
      <c r="C16" s="8" t="s">
        <v>106</v>
      </c>
      <c r="D16" s="35" t="s">
        <v>107</v>
      </c>
    </row>
    <row r="17" customFormat="false" ht="15" hidden="false" customHeight="false" outlineLevel="0" collapsed="false">
      <c r="A17" s="8" t="s">
        <v>108</v>
      </c>
      <c r="B17" s="34" t="n">
        <v>0.06</v>
      </c>
      <c r="C17" s="8"/>
      <c r="D17" s="32" t="s">
        <v>109</v>
      </c>
    </row>
    <row r="18" customFormat="false" ht="15" hidden="false" customHeight="false" outlineLevel="0" collapsed="false">
      <c r="A18" s="8" t="s">
        <v>110</v>
      </c>
      <c r="B18" s="34" t="n">
        <v>0.03</v>
      </c>
      <c r="C18" s="8"/>
      <c r="D18" s="32" t="s">
        <v>109</v>
      </c>
    </row>
    <row r="19" customFormat="false" ht="15" hidden="false" customHeight="false" outlineLevel="0" collapsed="false">
      <c r="A19" s="8" t="s">
        <v>111</v>
      </c>
      <c r="B19" s="34" t="n">
        <v>0.03</v>
      </c>
      <c r="C19" s="8"/>
      <c r="D19" s="32" t="s">
        <v>109</v>
      </c>
    </row>
    <row r="20" customFormat="false" ht="15" hidden="false" customHeight="false" outlineLevel="0" collapsed="false">
      <c r="A20" s="8" t="s">
        <v>112</v>
      </c>
      <c r="B20" s="34" t="n">
        <v>0.055</v>
      </c>
      <c r="C20" s="8"/>
      <c r="D20" s="35" t="s">
        <v>113</v>
      </c>
    </row>
    <row r="21" customFormat="false" ht="15" hidden="false" customHeight="false" outlineLevel="0" collapsed="false">
      <c r="A21" s="8" t="s">
        <v>114</v>
      </c>
      <c r="B21" s="34" t="n">
        <v>0.3</v>
      </c>
      <c r="C21" s="8"/>
      <c r="D21" s="32" t="s">
        <v>115</v>
      </c>
    </row>
    <row r="22" customFormat="false" ht="15" hidden="false" customHeight="false" outlineLevel="0" collapsed="false">
      <c r="A22" s="8" t="s">
        <v>116</v>
      </c>
      <c r="B22" s="37" t="n">
        <v>2777500</v>
      </c>
      <c r="C22" s="8" t="s">
        <v>99</v>
      </c>
      <c r="D22" s="32" t="s">
        <v>117</v>
      </c>
    </row>
    <row r="23" customFormat="false" ht="15" hidden="false" customHeight="false" outlineLevel="0" collapsed="false">
      <c r="A23" s="9" t="s">
        <v>118</v>
      </c>
      <c r="B23" s="36" t="n">
        <v>6000000</v>
      </c>
      <c r="C23" s="8" t="s">
        <v>106</v>
      </c>
      <c r="D23" s="32" t="s">
        <v>119</v>
      </c>
    </row>
    <row r="24" customFormat="false" ht="15" hidden="false" customHeight="false" outlineLevel="0" collapsed="false">
      <c r="A24" s="8" t="s">
        <v>120</v>
      </c>
      <c r="B24" s="34" t="n">
        <v>0.4</v>
      </c>
      <c r="C24" s="8"/>
      <c r="D24" s="32" t="s">
        <v>109</v>
      </c>
    </row>
    <row r="25" customFormat="false" ht="15" hidden="false" customHeight="false" outlineLevel="0" collapsed="false">
      <c r="A25" s="9" t="s">
        <v>121</v>
      </c>
      <c r="B25" s="34" t="n">
        <v>0</v>
      </c>
      <c r="C25" s="8"/>
      <c r="D25" s="32" t="s">
        <v>122</v>
      </c>
    </row>
    <row r="26" customFormat="false" ht="15" hidden="false" customHeight="false" outlineLevel="0" collapsed="false">
      <c r="A26" s="8" t="s">
        <v>123</v>
      </c>
      <c r="B26" s="38" t="s">
        <v>124</v>
      </c>
      <c r="C26" s="9" t="s">
        <v>125</v>
      </c>
      <c r="D26" s="32" t="s">
        <v>126</v>
      </c>
    </row>
    <row r="27" customFormat="false" ht="15" hidden="false" customHeight="false" outlineLevel="0" collapsed="false">
      <c r="A27" s="8" t="s">
        <v>127</v>
      </c>
      <c r="B27" s="12" t="s">
        <v>128</v>
      </c>
      <c r="C27" s="8"/>
      <c r="D27" s="32" t="s">
        <v>129</v>
      </c>
    </row>
    <row r="28" customFormat="false" ht="15" hidden="false" customHeight="false" outlineLevel="0" collapsed="false">
      <c r="A28" s="8" t="s">
        <v>130</v>
      </c>
      <c r="B28" s="38" t="s">
        <v>124</v>
      </c>
      <c r="C28" s="9" t="s">
        <v>125</v>
      </c>
      <c r="D28" s="32" t="s">
        <v>131</v>
      </c>
    </row>
    <row r="29" customFormat="false" ht="15" hidden="false" customHeight="false" outlineLevel="0" collapsed="false">
      <c r="A29" s="8" t="s">
        <v>132</v>
      </c>
      <c r="B29" s="31" t="n">
        <v>18</v>
      </c>
      <c r="C29" s="8" t="s">
        <v>133</v>
      </c>
      <c r="D29" s="32" t="s">
        <v>134</v>
      </c>
    </row>
    <row r="30" customFormat="false" ht="15" hidden="false" customHeight="false" outlineLevel="0" collapsed="false">
      <c r="A30" s="8" t="s">
        <v>135</v>
      </c>
      <c r="B30" s="31" t="n">
        <v>0</v>
      </c>
      <c r="C30" s="8" t="s">
        <v>133</v>
      </c>
      <c r="D30" s="32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21.6" hidden="false" customHeight="false" outlineLevel="0" collapsed="false">
      <c r="A1" s="29" t="s">
        <v>137</v>
      </c>
    </row>
    <row r="2" customFormat="false" ht="15" hidden="false" customHeight="false" outlineLevel="0" collapsed="false">
      <c r="A2" s="18" t="s">
        <v>138</v>
      </c>
    </row>
    <row r="3" customFormat="false" ht="15" hidden="false" customHeight="false" outlineLevel="0" collapsed="false">
      <c r="A3" s="30" t="s">
        <v>73</v>
      </c>
      <c r="B3" s="30" t="s">
        <v>74</v>
      </c>
      <c r="C3" s="30" t="s">
        <v>75</v>
      </c>
      <c r="D3" s="30"/>
      <c r="E3" s="30" t="s">
        <v>139</v>
      </c>
    </row>
    <row r="4" customFormat="false" ht="15" hidden="false" customHeight="false" outlineLevel="0" collapsed="false">
      <c r="A4" s="8" t="s">
        <v>140</v>
      </c>
      <c r="B4" s="22" t="n">
        <f aca="false">'1.가정'!$B$4*'1.가정'!$B$8</f>
        <v>792</v>
      </c>
      <c r="C4" s="8" t="s">
        <v>78</v>
      </c>
      <c r="E4" s="32" t="s">
        <v>141</v>
      </c>
    </row>
    <row r="5" customFormat="false" ht="15" hidden="false" customHeight="false" outlineLevel="0" collapsed="false">
      <c r="A5" s="8" t="s">
        <v>142</v>
      </c>
      <c r="B5" s="22" t="n">
        <f aca="false">B4*'1.가정'!$B$9</f>
        <v>594</v>
      </c>
      <c r="C5" s="8" t="s">
        <v>78</v>
      </c>
      <c r="E5" s="32" t="s">
        <v>143</v>
      </c>
    </row>
    <row r="6" customFormat="false" ht="15" hidden="false" customHeight="false" outlineLevel="0" collapsed="false">
      <c r="A6" s="8" t="s">
        <v>144</v>
      </c>
      <c r="B6" s="22" t="n">
        <f aca="false">B5*'1.가정'!$B$12</f>
        <v>356.4</v>
      </c>
      <c r="C6" s="8" t="s">
        <v>78</v>
      </c>
      <c r="E6" s="32"/>
    </row>
    <row r="7" customFormat="false" ht="15" hidden="false" customHeight="false" outlineLevel="0" collapsed="false">
      <c r="A7" s="8" t="s">
        <v>145</v>
      </c>
      <c r="B7" s="39" t="n">
        <f aca="false">B5-B6</f>
        <v>237.6</v>
      </c>
      <c r="C7" s="8" t="s">
        <v>78</v>
      </c>
      <c r="E7" s="32"/>
    </row>
    <row r="8" customFormat="false" ht="15" hidden="false" customHeight="false" outlineLevel="0" collapsed="false">
      <c r="A8" s="8" t="s">
        <v>146</v>
      </c>
      <c r="B8" s="20" t="n">
        <f aca="false">INT(B6/'1.가정'!$B$10)</f>
        <v>14</v>
      </c>
      <c r="C8" s="8" t="s">
        <v>147</v>
      </c>
      <c r="E8" s="32" t="s">
        <v>148</v>
      </c>
    </row>
    <row r="9" customFormat="false" ht="15" hidden="false" customHeight="false" outlineLevel="0" collapsed="false">
      <c r="A9" s="8" t="s">
        <v>149</v>
      </c>
      <c r="B9" s="20" t="n">
        <f aca="false">INT(B7/'1.가정'!$B$11)</f>
        <v>6</v>
      </c>
      <c r="C9" s="8" t="s">
        <v>147</v>
      </c>
      <c r="E9" s="32" t="s">
        <v>148</v>
      </c>
    </row>
    <row r="10" customFormat="false" ht="15" hidden="false" customHeight="false" outlineLevel="0" collapsed="false">
      <c r="A10" s="33" t="s">
        <v>30</v>
      </c>
      <c r="B10" s="40" t="n">
        <f aca="false">B8+B9</f>
        <v>20</v>
      </c>
      <c r="C10" s="8" t="s">
        <v>147</v>
      </c>
      <c r="E10" s="32"/>
    </row>
    <row r="11" customFormat="false" ht="15" hidden="false" customHeight="false" outlineLevel="0" collapsed="false">
      <c r="A11" s="8" t="s">
        <v>150</v>
      </c>
      <c r="B11" s="22" t="n">
        <f aca="false">B8*'1.가정'!$B$10+B9*'1.가정'!$B$11</f>
        <v>552</v>
      </c>
      <c r="C11" s="8" t="s">
        <v>78</v>
      </c>
      <c r="E11" s="32" t="s">
        <v>151</v>
      </c>
    </row>
    <row r="12" customFormat="false" ht="15" hidden="false" customHeight="false" outlineLevel="0" collapsed="false">
      <c r="A12" s="8" t="s">
        <v>152</v>
      </c>
      <c r="B12" s="41" t="n">
        <f aca="false">ROUNDUP(B10*0.5,0)</f>
        <v>10</v>
      </c>
      <c r="C12" s="8" t="s">
        <v>153</v>
      </c>
      <c r="E12" s="32" t="s">
        <v>154</v>
      </c>
    </row>
    <row r="13" customFormat="false" ht="15" hidden="false" customHeight="false" outlineLevel="0" collapsed="false">
      <c r="A13" s="8" t="s">
        <v>155</v>
      </c>
      <c r="B13" s="41" t="n">
        <f aca="false">ROUNDUP(B8*0.3+B9*0.5,0)</f>
        <v>8</v>
      </c>
      <c r="C13" s="8" t="s">
        <v>153</v>
      </c>
      <c r="E13" s="32" t="s">
        <v>156</v>
      </c>
    </row>
    <row r="14" customFormat="false" ht="15" hidden="false" customHeight="false" outlineLevel="0" collapsed="false">
      <c r="A14" s="8" t="s">
        <v>157</v>
      </c>
      <c r="B14" s="39" t="n">
        <f aca="false">IF(B10&gt;=50,B10*1,0)</f>
        <v>0</v>
      </c>
      <c r="C14" s="8" t="s">
        <v>78</v>
      </c>
      <c r="E14" s="35" t="s">
        <v>158</v>
      </c>
    </row>
    <row r="15" customFormat="false" ht="15" hidden="false" customHeight="false" outlineLevel="0" collapsed="false">
      <c r="A15" s="8" t="s">
        <v>159</v>
      </c>
      <c r="B15" s="39" t="n">
        <f aca="false">IF(B10&gt;0,B11/B10,0)</f>
        <v>27.6</v>
      </c>
      <c r="C15" s="8" t="s">
        <v>78</v>
      </c>
      <c r="E15" s="3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44"/>
  </cols>
  <sheetData>
    <row r="1" customFormat="false" ht="21.6" hidden="false" customHeight="false" outlineLevel="0" collapsed="false">
      <c r="A1" s="29" t="s">
        <v>160</v>
      </c>
    </row>
    <row r="2" customFormat="false" ht="15" hidden="false" customHeight="false" outlineLevel="0" collapsed="false">
      <c r="A2" s="18" t="s">
        <v>161</v>
      </c>
    </row>
    <row r="3" customFormat="false" ht="15" hidden="false" customHeight="false" outlineLevel="0" collapsed="false">
      <c r="A3" s="30" t="s">
        <v>73</v>
      </c>
      <c r="B3" s="30" t="s">
        <v>64</v>
      </c>
      <c r="C3" s="30" t="s">
        <v>162</v>
      </c>
      <c r="D3" s="30" t="s">
        <v>163</v>
      </c>
    </row>
    <row r="4" customFormat="false" ht="15" hidden="false" customHeight="false" outlineLevel="0" collapsed="false">
      <c r="A4" s="8" t="s">
        <v>98</v>
      </c>
      <c r="B4" s="23" t="n">
        <f aca="false">'1.가정'!$B$13</f>
        <v>1300000000</v>
      </c>
      <c r="C4" s="42" t="n">
        <f aca="false">IF($B$15&gt;0,B4/$B$15,0)</f>
        <v>0.304276373948838</v>
      </c>
      <c r="D4" s="32" t="s">
        <v>164</v>
      </c>
    </row>
    <row r="5" customFormat="false" ht="15" hidden="false" customHeight="false" outlineLevel="0" collapsed="false">
      <c r="A5" s="8" t="s">
        <v>165</v>
      </c>
      <c r="B5" s="23" t="n">
        <f aca="false">B4*'1.가정'!$B$14*(1-'1.가정'!$B$15)</f>
        <v>50830000</v>
      </c>
      <c r="C5" s="42" t="n">
        <f aca="false">IF($B$15&gt;0,B5/$B$15,0)</f>
        <v>0.0118972062213996</v>
      </c>
      <c r="D5" s="35" t="s">
        <v>166</v>
      </c>
    </row>
    <row r="6" customFormat="false" ht="15" hidden="false" customHeight="false" outlineLevel="0" collapsed="false">
      <c r="A6" s="8" t="s">
        <v>167</v>
      </c>
      <c r="B6" s="43" t="n">
        <f aca="false">B4*0.012</f>
        <v>15600000</v>
      </c>
      <c r="C6" s="42" t="n">
        <f aca="false">IF($B$15&gt;0,B6/$B$15,0)</f>
        <v>0.00365131648738606</v>
      </c>
      <c r="D6" s="32" t="s">
        <v>168</v>
      </c>
    </row>
    <row r="7" customFormat="false" ht="15" hidden="false" customHeight="false" outlineLevel="0" collapsed="false">
      <c r="A7" s="8" t="s">
        <v>169</v>
      </c>
      <c r="B7" s="23" t="n">
        <f aca="false">'2.세대프로그램'!B4*'1.가정'!$B$16</f>
        <v>2376000000</v>
      </c>
      <c r="C7" s="42" t="n">
        <f aca="false">IF($B$15&gt;0,B7/$B$15,0)</f>
        <v>0.5561235880788</v>
      </c>
      <c r="D7" s="32" t="s">
        <v>170</v>
      </c>
    </row>
    <row r="8" customFormat="false" ht="15" hidden="false" customHeight="false" outlineLevel="0" collapsed="false">
      <c r="A8" s="8" t="s">
        <v>171</v>
      </c>
      <c r="B8" s="23" t="n">
        <f aca="false">B7*'1.가정'!$B$17</f>
        <v>142560000</v>
      </c>
      <c r="C8" s="42" t="n">
        <f aca="false">IF($B$15&gt;0,B8/$B$15,0)</f>
        <v>0.033367415284728</v>
      </c>
      <c r="D8" s="32"/>
    </row>
    <row r="9" customFormat="false" ht="15" hidden="false" customHeight="false" outlineLevel="0" collapsed="false">
      <c r="A9" s="8" t="s">
        <v>172</v>
      </c>
      <c r="B9" s="23" t="n">
        <f aca="false">B7*'1.가정'!$B$18</f>
        <v>71280000</v>
      </c>
      <c r="C9" s="42" t="n">
        <f aca="false">IF($B$15&gt;0,B9/$B$15,0)</f>
        <v>0.016683707642364</v>
      </c>
      <c r="D9" s="32"/>
    </row>
    <row r="10" customFormat="false" ht="15" hidden="false" customHeight="false" outlineLevel="0" collapsed="false">
      <c r="A10" s="8" t="s">
        <v>173</v>
      </c>
      <c r="B10" s="23" t="n">
        <f aca="false">B7*0.0316*(1-'1.가정'!$B$15)</f>
        <v>63819360</v>
      </c>
      <c r="C10" s="42" t="n">
        <f aca="false">IF($B$15&gt;0,B10/$B$15,0)</f>
        <v>0.0149374795757966</v>
      </c>
      <c r="D10" s="35" t="s">
        <v>174</v>
      </c>
    </row>
    <row r="11" customFormat="false" ht="15" hidden="false" customHeight="false" outlineLevel="0" collapsed="false">
      <c r="A11" s="8" t="s">
        <v>175</v>
      </c>
      <c r="B11" s="23" t="n">
        <f aca="false">'1.가정'!$B$22</f>
        <v>2777500</v>
      </c>
      <c r="C11" s="42" t="n">
        <f aca="false">IF($B$15&gt;0,B11/$B$15,0)</f>
        <v>0.000650098175879153</v>
      </c>
      <c r="D11" s="32" t="s">
        <v>176</v>
      </c>
    </row>
    <row r="12" customFormat="false" ht="15" hidden="false" customHeight="false" outlineLevel="0" collapsed="false">
      <c r="A12" s="8" t="s">
        <v>177</v>
      </c>
      <c r="B12" s="23" t="n">
        <f aca="false">'5.현금흐름'!B25</f>
        <v>125125000</v>
      </c>
      <c r="C12" s="42" t="n">
        <f aca="false">IF($B$15&gt;0,B12/$B$15,0)</f>
        <v>0.0292866009925757</v>
      </c>
      <c r="D12" s="32" t="s">
        <v>178</v>
      </c>
    </row>
    <row r="13" customFormat="false" ht="15" hidden="false" customHeight="false" outlineLevel="0" collapsed="false">
      <c r="A13" s="33" t="s">
        <v>179</v>
      </c>
      <c r="B13" s="43" t="n">
        <f aca="false">SUM(B4:B12)</f>
        <v>4147991860</v>
      </c>
      <c r="C13" s="42" t="n">
        <f aca="false">IF($B$15&gt;0,B13/$B$15,0)</f>
        <v>0.970873786407767</v>
      </c>
      <c r="D13" s="32"/>
    </row>
    <row r="14" customFormat="false" ht="15" hidden="false" customHeight="false" outlineLevel="0" collapsed="false">
      <c r="A14" s="8" t="s">
        <v>70</v>
      </c>
      <c r="B14" s="23" t="n">
        <f aca="false">B13*'1.가정'!$B$19</f>
        <v>124439755.8</v>
      </c>
      <c r="C14" s="42" t="n">
        <f aca="false">IF($B$15&gt;0,B14/$B$15,0)</f>
        <v>0.029126213592233</v>
      </c>
      <c r="D14" s="32"/>
    </row>
    <row r="15" customFormat="false" ht="15" hidden="false" customHeight="false" outlineLevel="0" collapsed="false">
      <c r="A15" s="33" t="s">
        <v>34</v>
      </c>
      <c r="B15" s="44" t="n">
        <f aca="false">B13+B14</f>
        <v>4272431615.8</v>
      </c>
      <c r="C15" s="42"/>
      <c r="D15" s="32"/>
    </row>
    <row r="16" customFormat="false" ht="15" hidden="false" customHeight="false" outlineLevel="0" collapsed="false">
      <c r="A16" s="8" t="s">
        <v>180</v>
      </c>
      <c r="B16" s="23" t="n">
        <f aca="false">IF('2.세대프로그램'!B10&gt;0,B15/'2.세대프로그램'!B10,0)</f>
        <v>213621580.79</v>
      </c>
      <c r="C16" s="42"/>
      <c r="D16" s="32" t="s">
        <v>181</v>
      </c>
    </row>
    <row r="17" customFormat="false" ht="15" hidden="false" customHeight="false" outlineLevel="0" collapsed="false">
      <c r="A17" s="8" t="s">
        <v>182</v>
      </c>
      <c r="B17" s="23" t="n">
        <f aca="false">IF('2.세대프로그램'!B4&gt;0,B15/'2.세대프로그램'!B4,0)</f>
        <v>5394484.36338384</v>
      </c>
      <c r="C17" s="42"/>
      <c r="D17" s="3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50"/>
  </cols>
  <sheetData>
    <row r="1" customFormat="false" ht="21.6" hidden="false" customHeight="false" outlineLevel="0" collapsed="false">
      <c r="A1" s="29" t="s">
        <v>183</v>
      </c>
    </row>
    <row r="2" customFormat="false" ht="15" hidden="false" customHeight="false" outlineLevel="0" collapsed="false">
      <c r="A2" s="45" t="s">
        <v>184</v>
      </c>
    </row>
    <row r="3" customFormat="false" ht="15" hidden="false" customHeight="false" outlineLevel="0" collapsed="false">
      <c r="A3" s="30" t="s">
        <v>73</v>
      </c>
      <c r="B3" s="30" t="s">
        <v>185</v>
      </c>
      <c r="C3" s="46" t="s">
        <v>186</v>
      </c>
      <c r="D3" s="30" t="s">
        <v>187</v>
      </c>
    </row>
    <row r="4" customFormat="false" ht="15" hidden="false" customHeight="false" outlineLevel="0" collapsed="false">
      <c r="A4" s="47" t="s">
        <v>188</v>
      </c>
      <c r="B4" s="23" t="n">
        <f aca="false">'2.세대프로그램'!B4*'1.가정'!$B$23</f>
        <v>4752000000</v>
      </c>
      <c r="C4" s="42" t="n">
        <f aca="false">IF($B$4&gt;0,B4/$B$4,0)</f>
        <v>1</v>
      </c>
      <c r="D4" s="32" t="s">
        <v>189</v>
      </c>
    </row>
    <row r="5" customFormat="false" ht="15" hidden="false" customHeight="false" outlineLevel="0" collapsed="false">
      <c r="A5" s="8" t="s">
        <v>190</v>
      </c>
      <c r="B5" s="23" t="n">
        <f aca="false">B4*'1.가정'!$B$24</f>
        <v>1900800000</v>
      </c>
      <c r="C5" s="42" t="n">
        <f aca="false">IF($B$4&gt;0,B5/$B$4,0)</f>
        <v>0.4</v>
      </c>
      <c r="D5" s="32" t="s">
        <v>191</v>
      </c>
    </row>
    <row r="6" customFormat="false" ht="15" hidden="false" customHeight="false" outlineLevel="0" collapsed="false">
      <c r="A6" s="8" t="s">
        <v>192</v>
      </c>
      <c r="B6" s="43" t="n">
        <f aca="false">B4-B5</f>
        <v>2851200000</v>
      </c>
      <c r="C6" s="42" t="n">
        <f aca="false">IF($B$4&gt;0,B6/$B$4,0)</f>
        <v>0.6</v>
      </c>
      <c r="D6" s="32"/>
    </row>
    <row r="7" customFormat="false" ht="15" hidden="false" customHeight="false" outlineLevel="0" collapsed="false">
      <c r="A7" s="9" t="s">
        <v>193</v>
      </c>
      <c r="B7" s="43" t="n">
        <f aca="false">B4*0.9</f>
        <v>4276800000</v>
      </c>
      <c r="C7" s="42" t="n">
        <f aca="false">IF($B$4&gt;0,B7/$B$4,0)</f>
        <v>0.9</v>
      </c>
      <c r="D7" s="32" t="s">
        <v>194</v>
      </c>
    </row>
    <row r="8" customFormat="false" ht="15" hidden="false" customHeight="false" outlineLevel="0" collapsed="false">
      <c r="A8" s="9" t="s">
        <v>195</v>
      </c>
      <c r="B8" s="43" t="n">
        <f aca="false">B4*1.1</f>
        <v>5227200000</v>
      </c>
      <c r="C8" s="42" t="n">
        <f aca="false">IF($B$4&gt;0,B8/$B$4,0)</f>
        <v>1.1</v>
      </c>
      <c r="D8" s="32" t="s">
        <v>196</v>
      </c>
    </row>
    <row r="9" customFormat="false" ht="15" hidden="false" customHeight="false" outlineLevel="0" collapsed="false">
      <c r="A9" s="8" t="s">
        <v>197</v>
      </c>
      <c r="B9" s="23" t="n">
        <f aca="false">IF('1.가정'!$B$26="Y",B8*0.15,0)</f>
        <v>784080000</v>
      </c>
      <c r="C9" s="42" t="n">
        <f aca="false">IF($B$4&gt;0,B9/$B$4,0)</f>
        <v>0.165</v>
      </c>
      <c r="D9" s="32" t="s">
        <v>198</v>
      </c>
    </row>
    <row r="10" customFormat="false" ht="15" hidden="false" customHeight="false" outlineLevel="0" collapsed="false">
      <c r="A10" s="9" t="s">
        <v>199</v>
      </c>
      <c r="B10" s="43" t="n">
        <f aca="false">B8+B9</f>
        <v>6011280000</v>
      </c>
      <c r="C10" s="42" t="n">
        <f aca="false">IF($B$4&gt;0,B10/$B$4,0)</f>
        <v>1.265</v>
      </c>
      <c r="D10" s="35" t="s">
        <v>200</v>
      </c>
    </row>
    <row r="11" customFormat="false" ht="15" hidden="false" customHeight="false" outlineLevel="0" collapsed="false">
      <c r="A11" s="8" t="s">
        <v>201</v>
      </c>
      <c r="B11" s="23" t="n">
        <f aca="false">B4*(1+'1.가정'!$B$25)</f>
        <v>4752000000</v>
      </c>
      <c r="C11" s="42" t="n">
        <f aca="false">IF($B$4&gt;0,B11/$B$4,0)</f>
        <v>1</v>
      </c>
      <c r="D11" s="32" t="s">
        <v>202</v>
      </c>
    </row>
    <row r="12" customFormat="false" ht="15" hidden="false" customHeight="false" outlineLevel="0" collapsed="false">
      <c r="A12" s="33" t="s">
        <v>38</v>
      </c>
      <c r="B12" s="44" t="n">
        <f aca="false">MIN(MAX(B11,B7),B10)</f>
        <v>4752000000</v>
      </c>
      <c r="C12" s="42" t="n">
        <f aca="false">IF($B$4&gt;0,B12/$B$4,0)</f>
        <v>1</v>
      </c>
      <c r="D12" s="32" t="s">
        <v>203</v>
      </c>
    </row>
    <row r="13" customFormat="false" ht="15" hidden="false" customHeight="false" outlineLevel="0" collapsed="false">
      <c r="A13" s="8" t="s">
        <v>204</v>
      </c>
      <c r="B13" s="23" t="n">
        <f aca="false">IF('2.세대프로그램'!B10&gt;0,B12/'2.세대프로그램'!B10,0)</f>
        <v>237600000</v>
      </c>
      <c r="C13" s="42"/>
      <c r="D13" s="32"/>
    </row>
    <row r="14" customFormat="false" ht="15" hidden="false" customHeight="false" outlineLevel="0" collapsed="false">
      <c r="A14" s="33" t="s">
        <v>205</v>
      </c>
      <c r="B14" s="25" t="n">
        <f aca="false">B12-'3.사업비'!B15</f>
        <v>479568384.2</v>
      </c>
      <c r="C14" s="42"/>
      <c r="D14" s="32"/>
    </row>
    <row r="15" customFormat="false" ht="15" hidden="false" customHeight="false" outlineLevel="0" collapsed="false">
      <c r="A15" s="8" t="s">
        <v>206</v>
      </c>
      <c r="B15" s="21" t="n">
        <f aca="false">IF('3.사업비'!B15&gt;0,B14/'3.사업비'!B15,0)</f>
        <v>0.112247176157599</v>
      </c>
      <c r="C15" s="42"/>
      <c r="D15" s="32"/>
    </row>
    <row r="16" customFormat="false" ht="15" hidden="false" customHeight="false" outlineLevel="0" collapsed="false">
      <c r="A16" s="8" t="s">
        <v>207</v>
      </c>
      <c r="B16" s="21" t="n">
        <f aca="false">IF('5.현금흐름'!B26&gt;0,B14/'5.현금흐름'!B26,0)</f>
        <v>0.986346891662349</v>
      </c>
      <c r="C16" s="42"/>
      <c r="D16" s="32" t="s">
        <v>208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4" min="2" style="0" width="14"/>
  </cols>
  <sheetData>
    <row r="1" customFormat="false" ht="21.6" hidden="false" customHeight="false" outlineLevel="0" collapsed="false">
      <c r="A1" s="29" t="s">
        <v>209</v>
      </c>
    </row>
    <row r="2" customFormat="false" ht="15" hidden="false" customHeight="false" outlineLevel="0" collapsed="false">
      <c r="A2" s="18" t="s">
        <v>210</v>
      </c>
    </row>
    <row r="3" customFormat="false" ht="15" hidden="false" customHeight="false" outlineLevel="0" collapsed="false">
      <c r="A3" s="30" t="s">
        <v>73</v>
      </c>
      <c r="B3" s="46" t="s">
        <v>51</v>
      </c>
      <c r="C3" s="46" t="s">
        <v>52</v>
      </c>
      <c r="D3" s="46" t="s">
        <v>53</v>
      </c>
      <c r="E3" s="46" t="s">
        <v>54</v>
      </c>
      <c r="F3" s="46" t="s">
        <v>55</v>
      </c>
      <c r="G3" s="46" t="s">
        <v>56</v>
      </c>
      <c r="H3" s="46" t="s">
        <v>57</v>
      </c>
      <c r="I3" s="46" t="s">
        <v>58</v>
      </c>
      <c r="J3" s="46" t="s">
        <v>59</v>
      </c>
      <c r="K3" s="46" t="s">
        <v>60</v>
      </c>
      <c r="L3" s="46" t="s">
        <v>61</v>
      </c>
      <c r="M3" s="46" t="s">
        <v>62</v>
      </c>
      <c r="N3" s="30" t="s">
        <v>211</v>
      </c>
    </row>
    <row r="4" customFormat="false" ht="15" hidden="false" customHeight="false" outlineLevel="0" collapsed="false">
      <c r="A4" s="8" t="s">
        <v>212</v>
      </c>
      <c r="B4" s="43" t="n">
        <f aca="false">IF(0=0,'3.사업비'!$B$4,0)</f>
        <v>1300000000</v>
      </c>
      <c r="C4" s="43" t="n">
        <f aca="false">IF(1=0,'3.사업비'!$B$4,0)</f>
        <v>0</v>
      </c>
      <c r="D4" s="43" t="n">
        <f aca="false">IF(2=0,'3.사업비'!$B$4,0)</f>
        <v>0</v>
      </c>
      <c r="E4" s="43" t="n">
        <f aca="false">IF(3=0,'3.사업비'!$B$4,0)</f>
        <v>0</v>
      </c>
      <c r="F4" s="43" t="n">
        <f aca="false">IF(4=0,'3.사업비'!$B$4,0)</f>
        <v>0</v>
      </c>
      <c r="G4" s="43" t="n">
        <f aca="false">IF(5=0,'3.사업비'!$B$4,0)</f>
        <v>0</v>
      </c>
      <c r="H4" s="43" t="n">
        <f aca="false">IF(6=0,'3.사업비'!$B$4,0)</f>
        <v>0</v>
      </c>
      <c r="I4" s="43" t="n">
        <f aca="false">IF(7=0,'3.사업비'!$B$4,0)</f>
        <v>0</v>
      </c>
      <c r="J4" s="43" t="n">
        <f aca="false">IF(8=0,'3.사업비'!$B$4,0)</f>
        <v>0</v>
      </c>
      <c r="K4" s="43" t="n">
        <f aca="false">IF(9=0,'3.사업비'!$B$4,0)</f>
        <v>0</v>
      </c>
      <c r="L4" s="43" t="n">
        <f aca="false">IF(10=0,'3.사업비'!$B$4,0)</f>
        <v>0</v>
      </c>
      <c r="M4" s="43" t="n">
        <f aca="false">IF(11=0,'3.사업비'!$B$4,0)</f>
        <v>0</v>
      </c>
      <c r="N4" s="48" t="n">
        <f aca="false">SUM(B4:M4)</f>
        <v>1300000000</v>
      </c>
    </row>
    <row r="5" customFormat="false" ht="15" hidden="false" customHeight="false" outlineLevel="0" collapsed="false">
      <c r="A5" s="8" t="s">
        <v>213</v>
      </c>
      <c r="B5" s="43" t="n">
        <f aca="false">IF(0=0,'3.사업비'!$B$5+'3.사업비'!$B$6,IF(0=$B$23,'3.사업비'!$B$10,0))</f>
        <v>66430000</v>
      </c>
      <c r="C5" s="43" t="n">
        <f aca="false">IF(1=0,'3.사업비'!$B$5+'3.사업비'!$B$6,IF(1=$B$23,'3.사업비'!$B$10,0))</f>
        <v>0</v>
      </c>
      <c r="D5" s="43" t="n">
        <f aca="false">IF(2=0,'3.사업비'!$B$5+'3.사업비'!$B$6,IF(2=$B$23,'3.사업비'!$B$10,0))</f>
        <v>0</v>
      </c>
      <c r="E5" s="43" t="n">
        <f aca="false">IF(3=0,'3.사업비'!$B$5+'3.사업비'!$B$6,IF(3=$B$23,'3.사업비'!$B$10,0))</f>
        <v>0</v>
      </c>
      <c r="F5" s="43" t="n">
        <f aca="false">IF(4=0,'3.사업비'!$B$5+'3.사업비'!$B$6,IF(4=$B$23,'3.사업비'!$B$10,0))</f>
        <v>0</v>
      </c>
      <c r="G5" s="43" t="n">
        <f aca="false">IF(5=0,'3.사업비'!$B$5+'3.사업비'!$B$6,IF(5=$B$23,'3.사업비'!$B$10,0))</f>
        <v>0</v>
      </c>
      <c r="H5" s="43" t="n">
        <f aca="false">IF(6=0,'3.사업비'!$B$5+'3.사업비'!$B$6,IF(6=$B$23,'3.사업비'!$B$10,0))</f>
        <v>0</v>
      </c>
      <c r="I5" s="43" t="n">
        <f aca="false">IF(7=0,'3.사업비'!$B$5+'3.사업비'!$B$6,IF(7=$B$23,'3.사업비'!$B$10,0))</f>
        <v>0</v>
      </c>
      <c r="J5" s="43" t="n">
        <f aca="false">IF(8=0,'3.사업비'!$B$5+'3.사업비'!$B$6,IF(8=$B$23,'3.사업비'!$B$10,0))</f>
        <v>63819360</v>
      </c>
      <c r="K5" s="43" t="n">
        <f aca="false">IF(9=0,'3.사업비'!$B$5+'3.사업비'!$B$6,IF(9=$B$23,'3.사업비'!$B$10,0))</f>
        <v>0</v>
      </c>
      <c r="L5" s="43" t="n">
        <f aca="false">IF(10=0,'3.사업비'!$B$5+'3.사업비'!$B$6,IF(10=$B$23,'3.사업비'!$B$10,0))</f>
        <v>0</v>
      </c>
      <c r="M5" s="43" t="n">
        <f aca="false">IF(11=0,'3.사업비'!$B$5+'3.사업비'!$B$6,IF(11=$B$23,'3.사업비'!$B$10,0))</f>
        <v>0</v>
      </c>
      <c r="N5" s="48" t="n">
        <f aca="false">SUM(B5:M5)</f>
        <v>130249360</v>
      </c>
    </row>
    <row r="6" customFormat="false" ht="15" hidden="false" customHeight="false" outlineLevel="0" collapsed="false">
      <c r="A6" s="8" t="s">
        <v>214</v>
      </c>
      <c r="B6" s="43" t="n">
        <f aca="false">IF(AND(0&gt;=$B$22,0&lt;$B$23),'3.사업비'!$B$7/($B$23-$B$22),0)</f>
        <v>0</v>
      </c>
      <c r="C6" s="43" t="n">
        <f aca="false">IF(AND(1&gt;=$B$22,1&lt;$B$23),'3.사업비'!$B$7/($B$23-$B$22),0)</f>
        <v>0</v>
      </c>
      <c r="D6" s="43" t="n">
        <f aca="false">IF(AND(2&gt;=$B$22,2&lt;$B$23),'3.사업비'!$B$7/($B$23-$B$22),0)</f>
        <v>396000000</v>
      </c>
      <c r="E6" s="43" t="n">
        <f aca="false">IF(AND(3&gt;=$B$22,3&lt;$B$23),'3.사업비'!$B$7/($B$23-$B$22),0)</f>
        <v>396000000</v>
      </c>
      <c r="F6" s="43" t="n">
        <f aca="false">IF(AND(4&gt;=$B$22,4&lt;$B$23),'3.사업비'!$B$7/($B$23-$B$22),0)</f>
        <v>396000000</v>
      </c>
      <c r="G6" s="43" t="n">
        <f aca="false">IF(AND(5&gt;=$B$22,5&lt;$B$23),'3.사업비'!$B$7/($B$23-$B$22),0)</f>
        <v>396000000</v>
      </c>
      <c r="H6" s="43" t="n">
        <f aca="false">IF(AND(6&gt;=$B$22,6&lt;$B$23),'3.사업비'!$B$7/($B$23-$B$22),0)</f>
        <v>396000000</v>
      </c>
      <c r="I6" s="43" t="n">
        <f aca="false">IF(AND(7&gt;=$B$22,7&lt;$B$23),'3.사업비'!$B$7/($B$23-$B$22),0)</f>
        <v>396000000</v>
      </c>
      <c r="J6" s="43" t="n">
        <f aca="false">IF(AND(8&gt;=$B$22,8&lt;$B$23),'3.사업비'!$B$7/($B$23-$B$22),0)</f>
        <v>0</v>
      </c>
      <c r="K6" s="43" t="n">
        <f aca="false">IF(AND(9&gt;=$B$22,9&lt;$B$23),'3.사업비'!$B$7/($B$23-$B$22),0)</f>
        <v>0</v>
      </c>
      <c r="L6" s="43" t="n">
        <f aca="false">IF(AND(10&gt;=$B$22,10&lt;$B$23),'3.사업비'!$B$7/($B$23-$B$22),0)</f>
        <v>0</v>
      </c>
      <c r="M6" s="43" t="n">
        <f aca="false">IF(AND(11&gt;=$B$22,11&lt;$B$23),'3.사업비'!$B$7/($B$23-$B$22),0)</f>
        <v>0</v>
      </c>
      <c r="N6" s="48" t="n">
        <f aca="false">SUM(B6:M6)</f>
        <v>2376000000</v>
      </c>
    </row>
    <row r="7" customFormat="false" ht="15" hidden="false" customHeight="false" outlineLevel="0" collapsed="false">
      <c r="A7" s="8" t="s">
        <v>215</v>
      </c>
      <c r="B7" s="43" t="n">
        <f aca="false">IF(0=1,'3.사업비'!$B$8+'3.사업비'!$B$9+'3.사업비'!$B$11,0)</f>
        <v>0</v>
      </c>
      <c r="C7" s="43" t="n">
        <f aca="false">IF(1=1,'3.사업비'!$B$8+'3.사업비'!$B$9+'3.사업비'!$B$11,0)</f>
        <v>216617500</v>
      </c>
      <c r="D7" s="43" t="n">
        <f aca="false">IF(2=1,'3.사업비'!$B$8+'3.사업비'!$B$9+'3.사업비'!$B$11,0)</f>
        <v>0</v>
      </c>
      <c r="E7" s="43" t="n">
        <f aca="false">IF(3=1,'3.사업비'!$B$8+'3.사업비'!$B$9+'3.사업비'!$B$11,0)</f>
        <v>0</v>
      </c>
      <c r="F7" s="43" t="n">
        <f aca="false">IF(4=1,'3.사업비'!$B$8+'3.사업비'!$B$9+'3.사업비'!$B$11,0)</f>
        <v>0</v>
      </c>
      <c r="G7" s="43" t="n">
        <f aca="false">IF(5=1,'3.사업비'!$B$8+'3.사업비'!$B$9+'3.사업비'!$B$11,0)</f>
        <v>0</v>
      </c>
      <c r="H7" s="43" t="n">
        <f aca="false">IF(6=1,'3.사업비'!$B$8+'3.사업비'!$B$9+'3.사업비'!$B$11,0)</f>
        <v>0</v>
      </c>
      <c r="I7" s="43" t="n">
        <f aca="false">IF(7=1,'3.사업비'!$B$8+'3.사업비'!$B$9+'3.사업비'!$B$11,0)</f>
        <v>0</v>
      </c>
      <c r="J7" s="43" t="n">
        <f aca="false">IF(8=1,'3.사업비'!$B$8+'3.사업비'!$B$9+'3.사업비'!$B$11,0)</f>
        <v>0</v>
      </c>
      <c r="K7" s="43" t="n">
        <f aca="false">IF(9=1,'3.사업비'!$B$8+'3.사업비'!$B$9+'3.사업비'!$B$11,0)</f>
        <v>0</v>
      </c>
      <c r="L7" s="43" t="n">
        <f aca="false">IF(10=1,'3.사업비'!$B$8+'3.사업비'!$B$9+'3.사업비'!$B$11,0)</f>
        <v>0</v>
      </c>
      <c r="M7" s="43" t="n">
        <f aca="false">IF(11=1,'3.사업비'!$B$8+'3.사업비'!$B$9+'3.사업비'!$B$11,0)</f>
        <v>0</v>
      </c>
      <c r="N7" s="48" t="n">
        <f aca="false">SUM(B7:M7)</f>
        <v>216617500</v>
      </c>
    </row>
    <row r="8" customFormat="false" ht="15" hidden="false" customHeight="false" outlineLevel="0" collapsed="false">
      <c r="A8" s="8" t="s">
        <v>70</v>
      </c>
      <c r="B8" s="43" t="n">
        <f aca="false">IF(0=$B$23,'3.사업비'!$B$14,0)</f>
        <v>0</v>
      </c>
      <c r="C8" s="43" t="n">
        <f aca="false">IF(1=$B$23,'3.사업비'!$B$14,0)</f>
        <v>0</v>
      </c>
      <c r="D8" s="43" t="n">
        <f aca="false">IF(2=$B$23,'3.사업비'!$B$14,0)</f>
        <v>0</v>
      </c>
      <c r="E8" s="43" t="n">
        <f aca="false">IF(3=$B$23,'3.사업비'!$B$14,0)</f>
        <v>0</v>
      </c>
      <c r="F8" s="43" t="n">
        <f aca="false">IF(4=$B$23,'3.사업비'!$B$14,0)</f>
        <v>0</v>
      </c>
      <c r="G8" s="43" t="n">
        <f aca="false">IF(5=$B$23,'3.사업비'!$B$14,0)</f>
        <v>0</v>
      </c>
      <c r="H8" s="43" t="n">
        <f aca="false">IF(6=$B$23,'3.사업비'!$B$14,0)</f>
        <v>0</v>
      </c>
      <c r="I8" s="43" t="n">
        <f aca="false">IF(7=$B$23,'3.사업비'!$B$14,0)</f>
        <v>0</v>
      </c>
      <c r="J8" s="43" t="n">
        <f aca="false">IF(8=$B$23,'3.사업비'!$B$14,0)</f>
        <v>124439755.8</v>
      </c>
      <c r="K8" s="43" t="n">
        <f aca="false">IF(9=$B$23,'3.사업비'!$B$14,0)</f>
        <v>0</v>
      </c>
      <c r="L8" s="43" t="n">
        <f aca="false">IF(10=$B$23,'3.사업비'!$B$14,0)</f>
        <v>0</v>
      </c>
      <c r="M8" s="43" t="n">
        <f aca="false">IF(11=$B$23,'3.사업비'!$B$14,0)</f>
        <v>0</v>
      </c>
      <c r="N8" s="48" t="n">
        <f aca="false">SUM(B8:M8)</f>
        <v>124439755.8</v>
      </c>
    </row>
    <row r="9" customFormat="false" ht="15" hidden="false" customHeight="false" outlineLevel="0" collapsed="false">
      <c r="A9" s="33" t="s">
        <v>49</v>
      </c>
      <c r="B9" s="48" t="n">
        <f aca="false">SUM(B4:B8)</f>
        <v>1366430000</v>
      </c>
      <c r="C9" s="48" t="n">
        <f aca="false">SUM(C4:C8)</f>
        <v>216617500</v>
      </c>
      <c r="D9" s="48" t="n">
        <f aca="false">SUM(D4:D8)</f>
        <v>396000000</v>
      </c>
      <c r="E9" s="48" t="n">
        <f aca="false">SUM(E4:E8)</f>
        <v>396000000</v>
      </c>
      <c r="F9" s="48" t="n">
        <f aca="false">SUM(F4:F8)</f>
        <v>396000000</v>
      </c>
      <c r="G9" s="48" t="n">
        <f aca="false">SUM(G4:G8)</f>
        <v>396000000</v>
      </c>
      <c r="H9" s="48" t="n">
        <f aca="false">SUM(H4:H8)</f>
        <v>396000000</v>
      </c>
      <c r="I9" s="48" t="n">
        <f aca="false">SUM(I4:I8)</f>
        <v>396000000</v>
      </c>
      <c r="J9" s="48" t="n">
        <f aca="false">SUM(J4:J8)</f>
        <v>188259115.8</v>
      </c>
      <c r="K9" s="48" t="n">
        <f aca="false">SUM(K4:K8)</f>
        <v>0</v>
      </c>
      <c r="L9" s="48" t="n">
        <f aca="false">SUM(L4:L8)</f>
        <v>0</v>
      </c>
      <c r="M9" s="48" t="n">
        <f aca="false">SUM(M4:M8)</f>
        <v>0</v>
      </c>
      <c r="N9" s="48" t="n">
        <f aca="false">SUM(B9:M9)</f>
        <v>4147306615.8</v>
      </c>
    </row>
    <row r="10" customFormat="false" ht="15" hidden="false" customHeight="false" outlineLevel="0" collapsed="false">
      <c r="A10" s="8" t="s">
        <v>37</v>
      </c>
      <c r="B10" s="43" t="n">
        <f aca="false">IF(0=1,'4.매입대금'!$B$5*$B$28,0)</f>
        <v>0</v>
      </c>
      <c r="C10" s="43" t="n">
        <f aca="false">IF(1=1,'4.매입대금'!$B$5*$B$28,0)</f>
        <v>1520640000</v>
      </c>
      <c r="D10" s="43" t="n">
        <f aca="false">IF(2=1,'4.매입대금'!$B$5*$B$28,0)</f>
        <v>0</v>
      </c>
      <c r="E10" s="43" t="n">
        <f aca="false">IF(3=1,'4.매입대금'!$B$5*$B$28,0)</f>
        <v>0</v>
      </c>
      <c r="F10" s="43" t="n">
        <f aca="false">IF(4=1,'4.매입대금'!$B$5*$B$28,0)</f>
        <v>0</v>
      </c>
      <c r="G10" s="43" t="n">
        <f aca="false">IF(5=1,'4.매입대금'!$B$5*$B$28,0)</f>
        <v>0</v>
      </c>
      <c r="H10" s="43" t="n">
        <f aca="false">IF(6=1,'4.매입대금'!$B$5*$B$28,0)</f>
        <v>0</v>
      </c>
      <c r="I10" s="43" t="n">
        <f aca="false">IF(7=1,'4.매입대금'!$B$5*$B$28,0)</f>
        <v>0</v>
      </c>
      <c r="J10" s="43" t="n">
        <f aca="false">IF(8=1,'4.매입대금'!$B$5*$B$28,0)</f>
        <v>0</v>
      </c>
      <c r="K10" s="43" t="n">
        <f aca="false">IF(9=1,'4.매입대금'!$B$5*$B$28,0)</f>
        <v>0</v>
      </c>
      <c r="L10" s="43" t="n">
        <f aca="false">IF(10=1,'4.매입대금'!$B$5*$B$28,0)</f>
        <v>0</v>
      </c>
      <c r="M10" s="43" t="n">
        <f aca="false">IF(11=1,'4.매입대금'!$B$5*$B$28,0)</f>
        <v>0</v>
      </c>
      <c r="N10" s="48" t="n">
        <f aca="false">SUM(B10:M10)</f>
        <v>1520640000</v>
      </c>
    </row>
    <row r="11" customFormat="false" ht="15" hidden="false" customHeight="false" outlineLevel="0" collapsed="false">
      <c r="A11" s="8" t="s">
        <v>216</v>
      </c>
      <c r="B11" s="43" t="n">
        <f aca="false">IF(0=$B$24,MAX('4.매입대금'!$B$4*$B$29-SUM($B$10:B10),0),0)</f>
        <v>0</v>
      </c>
      <c r="C11" s="43" t="n">
        <f aca="false">IF(1=$B$24,MAX('4.매입대금'!$B$4*$B$29-SUM($B$10:C10),0),0)</f>
        <v>0</v>
      </c>
      <c r="D11" s="43" t="n">
        <f aca="false">IF(2=$B$24,MAX('4.매입대금'!$B$4*$B$29-SUM($B$10:D10),0),0)</f>
        <v>0</v>
      </c>
      <c r="E11" s="43" t="n">
        <f aca="false">IF(3=$B$24,MAX('4.매입대금'!$B$4*$B$29-SUM($B$10:E10),0),0)</f>
        <v>0</v>
      </c>
      <c r="F11" s="43" t="n">
        <f aca="false">IF(4=$B$24,MAX('4.매입대금'!$B$4*$B$29-SUM($B$10:F10),0),0)</f>
        <v>1330560000</v>
      </c>
      <c r="G11" s="43" t="n">
        <f aca="false">IF(5=$B$24,MAX('4.매입대금'!$B$4*$B$29-SUM($B$10:G10),0),0)</f>
        <v>0</v>
      </c>
      <c r="H11" s="43" t="n">
        <f aca="false">IF(6=$B$24,MAX('4.매입대금'!$B$4*$B$29-SUM($B$10:H10),0),0)</f>
        <v>0</v>
      </c>
      <c r="I11" s="43" t="n">
        <f aca="false">IF(7=$B$24,MAX('4.매입대금'!$B$4*$B$29-SUM($B$10:I10),0),0)</f>
        <v>0</v>
      </c>
      <c r="J11" s="43" t="n">
        <f aca="false">IF(8=$B$24,MAX('4.매입대금'!$B$4*$B$29-SUM($B$10:J10),0),0)</f>
        <v>0</v>
      </c>
      <c r="K11" s="43" t="n">
        <f aca="false">IF(9=$B$24,MAX('4.매입대금'!$B$4*$B$29-SUM($B$10:K10),0),0)</f>
        <v>0</v>
      </c>
      <c r="L11" s="43" t="n">
        <f aca="false">IF(10=$B$24,MAX('4.매입대금'!$B$4*$B$29-SUM($B$10:L10),0),0)</f>
        <v>0</v>
      </c>
      <c r="M11" s="43" t="n">
        <f aca="false">IF(11=$B$24,MAX('4.매입대금'!$B$4*$B$29-SUM($B$10:M10),0),0)</f>
        <v>0</v>
      </c>
      <c r="N11" s="48" t="n">
        <f aca="false">SUM(B11:M11)</f>
        <v>1330560000</v>
      </c>
    </row>
    <row r="12" customFormat="false" ht="15" hidden="false" customHeight="false" outlineLevel="0" collapsed="false">
      <c r="A12" s="8" t="s">
        <v>217</v>
      </c>
      <c r="B12" s="43" t="n">
        <f aca="false">IF(0=$B$23+1,MAX('4.매입대금'!$B$12*$B$30-SUM($B$10:B11),0),0)</f>
        <v>0</v>
      </c>
      <c r="C12" s="43" t="n">
        <f aca="false">IF(1=$B$23+1,MAX('4.매입대금'!$B$12*$B$30-SUM($B$10:C11),0),0)</f>
        <v>0</v>
      </c>
      <c r="D12" s="43" t="n">
        <f aca="false">IF(2=$B$23+1,MAX('4.매입대금'!$B$12*$B$30-SUM($B$10:D11),0),0)</f>
        <v>0</v>
      </c>
      <c r="E12" s="43" t="n">
        <f aca="false">IF(3=$B$23+1,MAX('4.매입대금'!$B$12*$B$30-SUM($B$10:E11),0),0)</f>
        <v>0</v>
      </c>
      <c r="F12" s="43" t="n">
        <f aca="false">IF(4=$B$23+1,MAX('4.매입대금'!$B$12*$B$30-SUM($B$10:F11),0),0)</f>
        <v>0</v>
      </c>
      <c r="G12" s="43" t="n">
        <f aca="false">IF(5=$B$23+1,MAX('4.매입대금'!$B$12*$B$30-SUM($B$10:G11),0),0)</f>
        <v>0</v>
      </c>
      <c r="H12" s="43" t="n">
        <f aca="false">IF(6=$B$23+1,MAX('4.매입대금'!$B$12*$B$30-SUM($B$10:H11),0),0)</f>
        <v>0</v>
      </c>
      <c r="I12" s="43" t="n">
        <f aca="false">IF(7=$B$23+1,MAX('4.매입대금'!$B$12*$B$30-SUM($B$10:I11),0),0)</f>
        <v>0</v>
      </c>
      <c r="J12" s="43" t="n">
        <f aca="false">IF(8=$B$23+1,MAX('4.매입대금'!$B$12*$B$30-SUM($B$10:J11),0),0)</f>
        <v>0</v>
      </c>
      <c r="K12" s="43" t="n">
        <f aca="false">IF(9=$B$23+1,MAX('4.매입대금'!$B$12*$B$30-SUM($B$10:K11),0),0)</f>
        <v>1425600000</v>
      </c>
      <c r="L12" s="43" t="n">
        <f aca="false">IF(10=$B$23+1,MAX('4.매입대금'!$B$12*$B$30-SUM($B$10:L11),0),0)</f>
        <v>0</v>
      </c>
      <c r="M12" s="43" t="n">
        <f aca="false">IF(11=$B$23+1,MAX('4.매입대금'!$B$12*$B$30-SUM($B$10:M11),0),0)</f>
        <v>0</v>
      </c>
      <c r="N12" s="48" t="n">
        <f aca="false">SUM(B12:M12)</f>
        <v>1425600000</v>
      </c>
    </row>
    <row r="13" customFormat="false" ht="15" hidden="false" customHeight="false" outlineLevel="0" collapsed="false">
      <c r="A13" s="8" t="s">
        <v>218</v>
      </c>
      <c r="B13" s="43" t="n">
        <f aca="false">IF(0=$B$23+2,'4.매입대금'!$B$12-SUM($B$10:B12),0)</f>
        <v>0</v>
      </c>
      <c r="C13" s="43" t="n">
        <f aca="false">IF(1=$B$23+2,'4.매입대금'!$B$12-SUM($B$10:C12),0)</f>
        <v>0</v>
      </c>
      <c r="D13" s="43" t="n">
        <f aca="false">IF(2=$B$23+2,'4.매입대금'!$B$12-SUM($B$10:D12),0)</f>
        <v>0</v>
      </c>
      <c r="E13" s="43" t="n">
        <f aca="false">IF(3=$B$23+2,'4.매입대금'!$B$12-SUM($B$10:E12),0)</f>
        <v>0</v>
      </c>
      <c r="F13" s="43" t="n">
        <f aca="false">IF(4=$B$23+2,'4.매입대금'!$B$12-SUM($B$10:F12),0)</f>
        <v>0</v>
      </c>
      <c r="G13" s="43" t="n">
        <f aca="false">IF(5=$B$23+2,'4.매입대금'!$B$12-SUM($B$10:G12),0)</f>
        <v>0</v>
      </c>
      <c r="H13" s="43" t="n">
        <f aca="false">IF(6=$B$23+2,'4.매입대금'!$B$12-SUM($B$10:H12),0)</f>
        <v>0</v>
      </c>
      <c r="I13" s="43" t="n">
        <f aca="false">IF(7=$B$23+2,'4.매입대금'!$B$12-SUM($B$10:I12),0)</f>
        <v>0</v>
      </c>
      <c r="J13" s="43" t="n">
        <f aca="false">IF(8=$B$23+2,'4.매입대금'!$B$12-SUM($B$10:J12),0)</f>
        <v>0</v>
      </c>
      <c r="K13" s="43" t="n">
        <f aca="false">IF(9=$B$23+2,'4.매입대금'!$B$12-SUM($B$10:K12),0)</f>
        <v>0</v>
      </c>
      <c r="L13" s="43" t="n">
        <f aca="false">IF(10=$B$23+2,'4.매입대금'!$B$12-SUM($B$10:L12),0)</f>
        <v>475200000</v>
      </c>
      <c r="M13" s="43" t="n">
        <f aca="false">IF(11=$B$23+2,'4.매입대금'!$B$12-SUM($B$10:M12),0)</f>
        <v>0</v>
      </c>
      <c r="N13" s="48" t="n">
        <f aca="false">SUM(B13:M13)</f>
        <v>475200000</v>
      </c>
    </row>
    <row r="14" customFormat="false" ht="15" hidden="false" customHeight="false" outlineLevel="0" collapsed="false">
      <c r="A14" s="33" t="s">
        <v>50</v>
      </c>
      <c r="B14" s="48" t="n">
        <f aca="false">SUM(B10:B13)</f>
        <v>0</v>
      </c>
      <c r="C14" s="48" t="n">
        <f aca="false">SUM(C10:C13)</f>
        <v>1520640000</v>
      </c>
      <c r="D14" s="48" t="n">
        <f aca="false">SUM(D10:D13)</f>
        <v>0</v>
      </c>
      <c r="E14" s="48" t="n">
        <f aca="false">SUM(E10:E13)</f>
        <v>0</v>
      </c>
      <c r="F14" s="48" t="n">
        <f aca="false">SUM(F10:F13)</f>
        <v>1330560000</v>
      </c>
      <c r="G14" s="48" t="n">
        <f aca="false">SUM(G10:G13)</f>
        <v>0</v>
      </c>
      <c r="H14" s="48" t="n">
        <f aca="false">SUM(H10:H13)</f>
        <v>0</v>
      </c>
      <c r="I14" s="48" t="n">
        <f aca="false">SUM(I10:I13)</f>
        <v>0</v>
      </c>
      <c r="J14" s="48" t="n">
        <f aca="false">SUM(J10:J13)</f>
        <v>0</v>
      </c>
      <c r="K14" s="48" t="n">
        <f aca="false">SUM(K10:K13)</f>
        <v>1425600000</v>
      </c>
      <c r="L14" s="48" t="n">
        <f aca="false">SUM(L10:L13)</f>
        <v>475200000</v>
      </c>
      <c r="M14" s="48" t="n">
        <f aca="false">SUM(M10:M13)</f>
        <v>0</v>
      </c>
      <c r="N14" s="48" t="n">
        <f aca="false">SUM(B14:M14)</f>
        <v>4752000000</v>
      </c>
    </row>
    <row r="15" customFormat="false" ht="15" hidden="false" customHeight="false" outlineLevel="0" collapsed="false">
      <c r="A15" s="33" t="s">
        <v>219</v>
      </c>
      <c r="B15" s="48" t="n">
        <f aca="false">B14-B9</f>
        <v>-1366430000</v>
      </c>
      <c r="C15" s="48" t="n">
        <f aca="false">C14-C9</f>
        <v>1304022500</v>
      </c>
      <c r="D15" s="48" t="n">
        <f aca="false">D14-D9</f>
        <v>-396000000</v>
      </c>
      <c r="E15" s="48" t="n">
        <f aca="false">E14-E9</f>
        <v>-396000000</v>
      </c>
      <c r="F15" s="48" t="n">
        <f aca="false">F14-F9</f>
        <v>934560000</v>
      </c>
      <c r="G15" s="48" t="n">
        <f aca="false">G14-G9</f>
        <v>-396000000</v>
      </c>
      <c r="H15" s="48" t="n">
        <f aca="false">H14-H9</f>
        <v>-396000000</v>
      </c>
      <c r="I15" s="48" t="n">
        <f aca="false">I14-I9</f>
        <v>-396000000</v>
      </c>
      <c r="J15" s="48" t="n">
        <f aca="false">J14-J9</f>
        <v>-188259115.8</v>
      </c>
      <c r="K15" s="48" t="n">
        <f aca="false">K14-K9</f>
        <v>1425600000</v>
      </c>
      <c r="L15" s="48" t="n">
        <f aca="false">L14-L9</f>
        <v>475200000</v>
      </c>
      <c r="M15" s="48" t="n">
        <f aca="false">M14-M9</f>
        <v>0</v>
      </c>
      <c r="N15" s="48" t="n">
        <f aca="false">SUM(B15:M15)</f>
        <v>604693384.2</v>
      </c>
    </row>
    <row r="16" customFormat="false" ht="15" hidden="false" customHeight="false" outlineLevel="0" collapsed="false">
      <c r="A16" s="8" t="s">
        <v>220</v>
      </c>
      <c r="B16" s="43" t="n">
        <f aca="false">IF(0=0,'3.사업비'!$B$4*(1-'1.가정'!$B$21),0)</f>
        <v>910000000</v>
      </c>
      <c r="C16" s="43" t="n">
        <f aca="false">IF(1=0,'3.사업비'!$B$4*(1-'1.가정'!$B$21),IF(1=$B$23+2,-SUM($B$16:B16),0))</f>
        <v>0</v>
      </c>
      <c r="D16" s="43" t="n">
        <f aca="false">IF(2=0,'3.사업비'!$B$4*(1-'1.가정'!$B$21),IF(2=$B$23+2,-SUM($B$16:C16),0))</f>
        <v>0</v>
      </c>
      <c r="E16" s="43" t="n">
        <f aca="false">IF(3=0,'3.사업비'!$B$4*(1-'1.가정'!$B$21),IF(3=$B$23+2,-SUM($B$16:D16),0))</f>
        <v>0</v>
      </c>
      <c r="F16" s="43" t="n">
        <f aca="false">IF(4=0,'3.사업비'!$B$4*(1-'1.가정'!$B$21),IF(4=$B$23+2,-SUM($B$16:E16),0))</f>
        <v>0</v>
      </c>
      <c r="G16" s="43" t="n">
        <f aca="false">IF(5=0,'3.사업비'!$B$4*(1-'1.가정'!$B$21),IF(5=$B$23+2,-SUM($B$16:F16),0))</f>
        <v>0</v>
      </c>
      <c r="H16" s="43" t="n">
        <f aca="false">IF(6=0,'3.사업비'!$B$4*(1-'1.가정'!$B$21),IF(6=$B$23+2,-SUM($B$16:G16),0))</f>
        <v>0</v>
      </c>
      <c r="I16" s="43" t="n">
        <f aca="false">IF(7=0,'3.사업비'!$B$4*(1-'1.가정'!$B$21),IF(7=$B$23+2,-SUM($B$16:H16),0))</f>
        <v>0</v>
      </c>
      <c r="J16" s="43" t="n">
        <f aca="false">IF(8=0,'3.사업비'!$B$4*(1-'1.가정'!$B$21),IF(8=$B$23+2,-SUM($B$16:I16),0))</f>
        <v>0</v>
      </c>
      <c r="K16" s="43" t="n">
        <f aca="false">IF(9=0,'3.사업비'!$B$4*(1-'1.가정'!$B$21),IF(9=$B$23+2,-SUM($B$16:J16),0))</f>
        <v>0</v>
      </c>
      <c r="L16" s="43" t="n">
        <f aca="false">IF(10=0,'3.사업비'!$B$4*(1-'1.가정'!$B$21),IF(10=$B$23+2,-SUM($B$16:K16),0))</f>
        <v>-910000000</v>
      </c>
      <c r="M16" s="43" t="n">
        <f aca="false">IF(11=0,'3.사업비'!$B$4*(1-'1.가정'!$B$21),IF(11=$B$23+2,-SUM($B$16:L16),0))</f>
        <v>0</v>
      </c>
      <c r="N16" s="48" t="n">
        <f aca="false">SUM(B16:M16)</f>
        <v>0</v>
      </c>
    </row>
    <row r="17" customFormat="false" ht="15" hidden="false" customHeight="false" outlineLevel="0" collapsed="false">
      <c r="A17" s="8" t="s">
        <v>221</v>
      </c>
      <c r="B17" s="43" t="n">
        <f aca="false">0</f>
        <v>0</v>
      </c>
      <c r="C17" s="43" t="n">
        <f aca="false">IF(1&gt;0,SUM($B$16:B16)*'1.가정'!$B$20/4,0)</f>
        <v>12512500</v>
      </c>
      <c r="D17" s="43" t="n">
        <f aca="false">IF(2&gt;0,SUM($B$16:C16)*'1.가정'!$B$20/4,0)</f>
        <v>12512500</v>
      </c>
      <c r="E17" s="43" t="n">
        <f aca="false">IF(3&gt;0,SUM($B$16:D16)*'1.가정'!$B$20/4,0)</f>
        <v>12512500</v>
      </c>
      <c r="F17" s="43" t="n">
        <f aca="false">IF(4&gt;0,SUM($B$16:E16)*'1.가정'!$B$20/4,0)</f>
        <v>12512500</v>
      </c>
      <c r="G17" s="43" t="n">
        <f aca="false">IF(5&gt;0,SUM($B$16:F16)*'1.가정'!$B$20/4,0)</f>
        <v>12512500</v>
      </c>
      <c r="H17" s="43" t="n">
        <f aca="false">IF(6&gt;0,SUM($B$16:G16)*'1.가정'!$B$20/4,0)</f>
        <v>12512500</v>
      </c>
      <c r="I17" s="43" t="n">
        <f aca="false">IF(7&gt;0,SUM($B$16:H16)*'1.가정'!$B$20/4,0)</f>
        <v>12512500</v>
      </c>
      <c r="J17" s="43" t="n">
        <f aca="false">IF(8&gt;0,SUM($B$16:I16)*'1.가정'!$B$20/4,0)</f>
        <v>12512500</v>
      </c>
      <c r="K17" s="43" t="n">
        <f aca="false">IF(9&gt;0,SUM($B$16:J16)*'1.가정'!$B$20/4,0)</f>
        <v>12512500</v>
      </c>
      <c r="L17" s="43" t="n">
        <f aca="false">IF(10&gt;0,SUM($B$16:K16)*'1.가정'!$B$20/4,0)</f>
        <v>12512500</v>
      </c>
      <c r="M17" s="43" t="n">
        <f aca="false">IF(11&gt;0,SUM($B$16:L16)*'1.가정'!$B$20/4,0)</f>
        <v>0</v>
      </c>
      <c r="N17" s="48" t="n">
        <f aca="false">SUM(B17:M17)</f>
        <v>125125000</v>
      </c>
    </row>
    <row r="18" customFormat="false" ht="15" hidden="false" customHeight="false" outlineLevel="0" collapsed="false">
      <c r="A18" s="33" t="s">
        <v>48</v>
      </c>
      <c r="B18" s="48" t="n">
        <f aca="false">B15+B16-B17</f>
        <v>-456430000</v>
      </c>
      <c r="C18" s="48" t="n">
        <f aca="false">C15+C16-C17+B18</f>
        <v>835080000</v>
      </c>
      <c r="D18" s="48" t="n">
        <f aca="false">D15+D16-D17+C18</f>
        <v>426567500</v>
      </c>
      <c r="E18" s="48" t="n">
        <f aca="false">E15+E16-E17+D18</f>
        <v>18055000</v>
      </c>
      <c r="F18" s="48" t="n">
        <f aca="false">F15+F16-F17+E18</f>
        <v>940102500</v>
      </c>
      <c r="G18" s="48" t="n">
        <f aca="false">G15+G16-G17+F18</f>
        <v>531590000</v>
      </c>
      <c r="H18" s="48" t="n">
        <f aca="false">H15+H16-H17+G18</f>
        <v>123077500</v>
      </c>
      <c r="I18" s="48" t="n">
        <f aca="false">I15+I16-I17+H18</f>
        <v>-285435000</v>
      </c>
      <c r="J18" s="48" t="n">
        <f aca="false">J15+J16-J17+I18</f>
        <v>-486206615.8</v>
      </c>
      <c r="K18" s="48" t="n">
        <f aca="false">K15+K16-K17+J18</f>
        <v>926880884.2</v>
      </c>
      <c r="L18" s="48" t="n">
        <f aca="false">L15+L16-L17+K18</f>
        <v>479568384.2</v>
      </c>
      <c r="M18" s="48" t="n">
        <f aca="false">M15+M16-M17+L18</f>
        <v>479568384.2</v>
      </c>
    </row>
    <row r="19" customFormat="false" ht="15" hidden="false" customHeight="false" outlineLevel="0" collapsed="false">
      <c r="A19" s="33" t="s">
        <v>222</v>
      </c>
      <c r="B19" s="43" t="n">
        <f aca="false">MAX(0,-B18)</f>
        <v>456430000</v>
      </c>
      <c r="C19" s="43" t="n">
        <f aca="false">MAX(0,-C18)</f>
        <v>0</v>
      </c>
      <c r="D19" s="43" t="n">
        <f aca="false">MAX(0,-D18)</f>
        <v>0</v>
      </c>
      <c r="E19" s="43" t="n">
        <f aca="false">MAX(0,-E18)</f>
        <v>0</v>
      </c>
      <c r="F19" s="43" t="n">
        <f aca="false">MAX(0,-F18)</f>
        <v>0</v>
      </c>
      <c r="G19" s="43" t="n">
        <f aca="false">MAX(0,-G18)</f>
        <v>0</v>
      </c>
      <c r="H19" s="43" t="n">
        <f aca="false">MAX(0,-H18)</f>
        <v>0</v>
      </c>
      <c r="I19" s="43" t="n">
        <f aca="false">MAX(0,-I18)</f>
        <v>285435000</v>
      </c>
      <c r="J19" s="43" t="n">
        <f aca="false">MAX(0,-J18)</f>
        <v>486206615.8</v>
      </c>
      <c r="K19" s="43" t="n">
        <f aca="false">MAX(0,-K18)</f>
        <v>0</v>
      </c>
      <c r="L19" s="43" t="n">
        <f aca="false">MAX(0,-L18)</f>
        <v>0</v>
      </c>
      <c r="M19" s="43" t="n">
        <f aca="false">MAX(0,-M18)</f>
        <v>0</v>
      </c>
    </row>
    <row r="21" customFormat="false" ht="15" hidden="false" customHeight="false" outlineLevel="0" collapsed="false">
      <c r="A21" s="49" t="s">
        <v>223</v>
      </c>
    </row>
    <row r="22" customFormat="false" ht="15" hidden="false" customHeight="false" outlineLevel="0" collapsed="false">
      <c r="A22" s="8" t="s">
        <v>224</v>
      </c>
      <c r="B22" s="50" t="n">
        <v>2</v>
      </c>
    </row>
    <row r="23" customFormat="false" ht="15" hidden="false" customHeight="false" outlineLevel="0" collapsed="false">
      <c r="A23" s="8" t="s">
        <v>225</v>
      </c>
      <c r="B23" s="41" t="n">
        <f aca="false">2+ROUNDUP(('1.가정'!$B$29+'1.가정'!$B$30)/3,0)</f>
        <v>8</v>
      </c>
    </row>
    <row r="24" customFormat="false" ht="15" hidden="false" customHeight="false" outlineLevel="0" collapsed="false">
      <c r="A24" s="8" t="s">
        <v>226</v>
      </c>
      <c r="B24" s="41" t="n">
        <f aca="false">B22+2</f>
        <v>4</v>
      </c>
    </row>
    <row r="25" customFormat="false" ht="15" hidden="false" customHeight="false" outlineLevel="0" collapsed="false">
      <c r="A25" s="8" t="s">
        <v>227</v>
      </c>
      <c r="B25" s="43" t="n">
        <f aca="false">SUM(B17:M17)</f>
        <v>125125000</v>
      </c>
    </row>
    <row r="26" customFormat="false" ht="15" hidden="false" customHeight="false" outlineLevel="0" collapsed="false">
      <c r="A26" s="8" t="s">
        <v>35</v>
      </c>
      <c r="B26" s="43" t="n">
        <f aca="false">MAX(B19:M19)</f>
        <v>486206615.8</v>
      </c>
    </row>
    <row r="28" customFormat="false" ht="15" hidden="false" customHeight="false" outlineLevel="0" collapsed="false">
      <c r="A28" s="33" t="s">
        <v>228</v>
      </c>
      <c r="B28" s="51" t="n">
        <f aca="false">IF('1.가정'!$B$27="근저당",0.5,IF('1.가정'!$B$28="Y",0.8,0.6))</f>
        <v>0.8</v>
      </c>
    </row>
    <row r="29" customFormat="false" ht="15" hidden="false" customHeight="false" outlineLevel="0" collapsed="false">
      <c r="A29" s="33" t="s">
        <v>229</v>
      </c>
      <c r="B29" s="42" t="n">
        <f aca="false">IF('1.가정'!$B$27="근저당",0.5,0.6)</f>
        <v>0.6</v>
      </c>
    </row>
    <row r="30" customFormat="false" ht="15" hidden="false" customHeight="false" outlineLevel="0" collapsed="false">
      <c r="A30" s="33" t="s">
        <v>230</v>
      </c>
      <c r="B30" s="42" t="n">
        <f aca="false">IF('1.가정'!$B$27="근저당",0.8,0.9)</f>
        <v>0.9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4"/>
  </cols>
  <sheetData>
    <row r="1" customFormat="false" ht="21.6" hidden="false" customHeight="false" outlineLevel="0" collapsed="false">
      <c r="A1" s="29" t="s">
        <v>231</v>
      </c>
    </row>
    <row r="2" customFormat="false" ht="15" hidden="false" customHeight="false" outlineLevel="0" collapsed="false">
      <c r="A2" s="18" t="s">
        <v>232</v>
      </c>
    </row>
    <row r="3" customFormat="false" ht="15" hidden="false" customHeight="false" outlineLevel="0" collapsed="false">
      <c r="A3" s="4" t="s">
        <v>233</v>
      </c>
      <c r="B3" s="52" t="n">
        <v>-0.1</v>
      </c>
      <c r="C3" s="52" t="n">
        <v>-0.05</v>
      </c>
      <c r="D3" s="52" t="n">
        <v>0</v>
      </c>
      <c r="E3" s="52" t="n">
        <v>0.05</v>
      </c>
      <c r="F3" s="52" t="n">
        <v>0.1</v>
      </c>
      <c r="G3" s="52" t="n">
        <v>0.15</v>
      </c>
      <c r="H3" s="52" t="n">
        <v>0.2</v>
      </c>
    </row>
    <row r="4" customFormat="false" ht="15" hidden="false" customHeight="false" outlineLevel="0" collapsed="false">
      <c r="A4" s="53" t="n">
        <v>-0.1</v>
      </c>
      <c r="B4" s="43" t="n">
        <f aca="false">'4.매입대금'!$B$4*(1+$A4)-('3.사업비'!$B$15+'3.사업비'!$B$7*B$3)</f>
        <v>241968384.2</v>
      </c>
      <c r="C4" s="43" t="n">
        <f aca="false">'4.매입대금'!$B$4*(1+$A4)-('3.사업비'!$B$15+'3.사업비'!$B$7*C$3)</f>
        <v>123168384.2</v>
      </c>
      <c r="D4" s="43" t="n">
        <f aca="false">'4.매입대금'!$B$4*(1+$A4)-('3.사업비'!$B$15+'3.사업비'!$B$7*D$3)</f>
        <v>4368384.19999981</v>
      </c>
      <c r="E4" s="43" t="n">
        <f aca="false">'4.매입대금'!$B$4*(1+$A4)-('3.사업비'!$B$15+'3.사업비'!$B$7*E$3)</f>
        <v>-114431615.8</v>
      </c>
      <c r="F4" s="43" t="n">
        <f aca="false">'4.매입대금'!$B$4*(1+$A4)-('3.사업비'!$B$15+'3.사업비'!$B$7*F$3)</f>
        <v>-233231615.8</v>
      </c>
      <c r="G4" s="43" t="n">
        <f aca="false">'4.매입대금'!$B$4*(1+$A4)-('3.사업비'!$B$15+'3.사업비'!$B$7*G$3)</f>
        <v>-352031615.8</v>
      </c>
      <c r="H4" s="43" t="n">
        <f aca="false">'4.매입대금'!$B$4*(1+$A4)-('3.사업비'!$B$15+'3.사업비'!$B$7*H$3)</f>
        <v>-470831615.8</v>
      </c>
    </row>
    <row r="5" customFormat="false" ht="15" hidden="false" customHeight="false" outlineLevel="0" collapsed="false">
      <c r="A5" s="53" t="n">
        <v>-0.05</v>
      </c>
      <c r="B5" s="43" t="n">
        <f aca="false">'4.매입대금'!$B$4*(1+$A5)-('3.사업비'!$B$15+'3.사업비'!$B$7*B$3)</f>
        <v>479568384.2</v>
      </c>
      <c r="C5" s="43" t="n">
        <f aca="false">'4.매입대금'!$B$4*(1+$A5)-('3.사업비'!$B$15+'3.사업비'!$B$7*C$3)</f>
        <v>360768384.2</v>
      </c>
      <c r="D5" s="43" t="n">
        <f aca="false">'4.매입대금'!$B$4*(1+$A5)-('3.사업비'!$B$15+'3.사업비'!$B$7*D$3)</f>
        <v>241968384.2</v>
      </c>
      <c r="E5" s="43" t="n">
        <f aca="false">'4.매입대금'!$B$4*(1+$A5)-('3.사업비'!$B$15+'3.사업비'!$B$7*E$3)</f>
        <v>123168384.2</v>
      </c>
      <c r="F5" s="43" t="n">
        <f aca="false">'4.매입대금'!$B$4*(1+$A5)-('3.사업비'!$B$15+'3.사업비'!$B$7*F$3)</f>
        <v>4368384.19999981</v>
      </c>
      <c r="G5" s="43" t="n">
        <f aca="false">'4.매입대금'!$B$4*(1+$A5)-('3.사업비'!$B$15+'3.사업비'!$B$7*G$3)</f>
        <v>-114431615.8</v>
      </c>
      <c r="H5" s="43" t="n">
        <f aca="false">'4.매입대금'!$B$4*(1+$A5)-('3.사업비'!$B$15+'3.사업비'!$B$7*H$3)</f>
        <v>-233231615.8</v>
      </c>
    </row>
    <row r="6" customFormat="false" ht="15" hidden="false" customHeight="false" outlineLevel="0" collapsed="false">
      <c r="A6" s="53" t="n">
        <v>0</v>
      </c>
      <c r="B6" s="43" t="n">
        <f aca="false">'4.매입대금'!$B$4*(1+$A6)-('3.사업비'!$B$15+'3.사업비'!$B$7*B$3)</f>
        <v>717168384.2</v>
      </c>
      <c r="C6" s="43" t="n">
        <f aca="false">'4.매입대금'!$B$4*(1+$A6)-('3.사업비'!$B$15+'3.사업비'!$B$7*C$3)</f>
        <v>598368384.2</v>
      </c>
      <c r="D6" s="54" t="n">
        <f aca="false">'4.매입대금'!$B$4*(1+$A6)-('3.사업비'!$B$15+'3.사업비'!$B$7*D$3)</f>
        <v>479568384.2</v>
      </c>
      <c r="E6" s="43" t="n">
        <f aca="false">'4.매입대금'!$B$4*(1+$A6)-('3.사업비'!$B$15+'3.사업비'!$B$7*E$3)</f>
        <v>360768384.2</v>
      </c>
      <c r="F6" s="43" t="n">
        <f aca="false">'4.매입대금'!$B$4*(1+$A6)-('3.사업비'!$B$15+'3.사업비'!$B$7*F$3)</f>
        <v>241968384.2</v>
      </c>
      <c r="G6" s="43" t="n">
        <f aca="false">'4.매입대금'!$B$4*(1+$A6)-('3.사업비'!$B$15+'3.사업비'!$B$7*G$3)</f>
        <v>123168384.2</v>
      </c>
      <c r="H6" s="43" t="n">
        <f aca="false">'4.매입대금'!$B$4*(1+$A6)-('3.사업비'!$B$15+'3.사업비'!$B$7*H$3)</f>
        <v>4368384.19999981</v>
      </c>
    </row>
    <row r="7" customFormat="false" ht="15" hidden="false" customHeight="false" outlineLevel="0" collapsed="false">
      <c r="A7" s="53" t="n">
        <v>0.05</v>
      </c>
      <c r="B7" s="43" t="n">
        <f aca="false">'4.매입대금'!$B$4*(1+$A7)-('3.사업비'!$B$15+'3.사업비'!$B$7*B$3)</f>
        <v>954768384.2</v>
      </c>
      <c r="C7" s="43" t="n">
        <f aca="false">'4.매입대금'!$B$4*(1+$A7)-('3.사업비'!$B$15+'3.사업비'!$B$7*C$3)</f>
        <v>835968384.2</v>
      </c>
      <c r="D7" s="43" t="n">
        <f aca="false">'4.매입대금'!$B$4*(1+$A7)-('3.사업비'!$B$15+'3.사업비'!$B$7*D$3)</f>
        <v>717168384.2</v>
      </c>
      <c r="E7" s="43" t="n">
        <f aca="false">'4.매입대금'!$B$4*(1+$A7)-('3.사업비'!$B$15+'3.사업비'!$B$7*E$3)</f>
        <v>598368384.2</v>
      </c>
      <c r="F7" s="43" t="n">
        <f aca="false">'4.매입대금'!$B$4*(1+$A7)-('3.사업비'!$B$15+'3.사업비'!$B$7*F$3)</f>
        <v>479568384.2</v>
      </c>
      <c r="G7" s="43" t="n">
        <f aca="false">'4.매입대금'!$B$4*(1+$A7)-('3.사업비'!$B$15+'3.사업비'!$B$7*G$3)</f>
        <v>360768384.2</v>
      </c>
      <c r="H7" s="43" t="n">
        <f aca="false">'4.매입대금'!$B$4*(1+$A7)-('3.사업비'!$B$15+'3.사업비'!$B$7*H$3)</f>
        <v>241968384.2</v>
      </c>
    </row>
    <row r="8" customFormat="false" ht="15" hidden="false" customHeight="false" outlineLevel="0" collapsed="false">
      <c r="A8" s="53" t="n">
        <v>0.1</v>
      </c>
      <c r="B8" s="43" t="n">
        <f aca="false">'4.매입대금'!$B$4*(1+$A8)-('3.사업비'!$B$15+'3.사업비'!$B$7*B$3)</f>
        <v>1192368384.2</v>
      </c>
      <c r="C8" s="43" t="n">
        <f aca="false">'4.매입대금'!$B$4*(1+$A8)-('3.사업비'!$B$15+'3.사업비'!$B$7*C$3)</f>
        <v>1073568384.2</v>
      </c>
      <c r="D8" s="43" t="n">
        <f aca="false">'4.매입대금'!$B$4*(1+$A8)-('3.사업비'!$B$15+'3.사업비'!$B$7*D$3)</f>
        <v>954768384.2</v>
      </c>
      <c r="E8" s="43" t="n">
        <f aca="false">'4.매입대금'!$B$4*(1+$A8)-('3.사업비'!$B$15+'3.사업비'!$B$7*E$3)</f>
        <v>835968384.2</v>
      </c>
      <c r="F8" s="43" t="n">
        <f aca="false">'4.매입대금'!$B$4*(1+$A8)-('3.사업비'!$B$15+'3.사업비'!$B$7*F$3)</f>
        <v>717168384.2</v>
      </c>
      <c r="G8" s="43" t="n">
        <f aca="false">'4.매입대금'!$B$4*(1+$A8)-('3.사업비'!$B$15+'3.사업비'!$B$7*G$3)</f>
        <v>598368384.2</v>
      </c>
      <c r="H8" s="43" t="n">
        <f aca="false">'4.매입대금'!$B$4*(1+$A8)-('3.사업비'!$B$15+'3.사업비'!$B$7*H$3)</f>
        <v>479568384.2</v>
      </c>
    </row>
    <row r="9" customFormat="false" ht="15" hidden="false" customHeight="false" outlineLevel="0" collapsed="false">
      <c r="A9" s="53" t="n">
        <v>0.15</v>
      </c>
      <c r="B9" s="43" t="n">
        <f aca="false">'4.매입대금'!$B$4*(1+$A9)-('3.사업비'!$B$15+'3.사업비'!$B$7*B$3)</f>
        <v>1429968384.2</v>
      </c>
      <c r="C9" s="43" t="n">
        <f aca="false">'4.매입대금'!$B$4*(1+$A9)-('3.사업비'!$B$15+'3.사업비'!$B$7*C$3)</f>
        <v>1311168384.2</v>
      </c>
      <c r="D9" s="43" t="n">
        <f aca="false">'4.매입대금'!$B$4*(1+$A9)-('3.사업비'!$B$15+'3.사업비'!$B$7*D$3)</f>
        <v>1192368384.2</v>
      </c>
      <c r="E9" s="43" t="n">
        <f aca="false">'4.매입대금'!$B$4*(1+$A9)-('3.사업비'!$B$15+'3.사업비'!$B$7*E$3)</f>
        <v>1073568384.2</v>
      </c>
      <c r="F9" s="43" t="n">
        <f aca="false">'4.매입대금'!$B$4*(1+$A9)-('3.사업비'!$B$15+'3.사업비'!$B$7*F$3)</f>
        <v>954768384.2</v>
      </c>
      <c r="G9" s="43" t="n">
        <f aca="false">'4.매입대금'!$B$4*(1+$A9)-('3.사업비'!$B$15+'3.사업비'!$B$7*G$3)</f>
        <v>835968384.2</v>
      </c>
      <c r="H9" s="43" t="n">
        <f aca="false">'4.매입대금'!$B$4*(1+$A9)-('3.사업비'!$B$15+'3.사업비'!$B$7*H$3)</f>
        <v>717168384.2</v>
      </c>
    </row>
    <row r="10" customFormat="false" ht="15" hidden="false" customHeight="false" outlineLevel="0" collapsed="false">
      <c r="A10" s="53" t="n">
        <v>0.265</v>
      </c>
      <c r="B10" s="43" t="n">
        <f aca="false">'4.매입대금'!$B$4*(1+$A10)-('3.사업비'!$B$15+'3.사업비'!$B$7*B$3)</f>
        <v>1976448384.2</v>
      </c>
      <c r="C10" s="43" t="n">
        <f aca="false">'4.매입대금'!$B$4*(1+$A10)-('3.사업비'!$B$15+'3.사업비'!$B$7*C$3)</f>
        <v>1857648384.2</v>
      </c>
      <c r="D10" s="43" t="n">
        <f aca="false">'4.매입대금'!$B$4*(1+$A10)-('3.사업비'!$B$15+'3.사업비'!$B$7*D$3)</f>
        <v>1738848384.2</v>
      </c>
      <c r="E10" s="43" t="n">
        <f aca="false">'4.매입대금'!$B$4*(1+$A10)-('3.사업비'!$B$15+'3.사업비'!$B$7*E$3)</f>
        <v>1620048384.2</v>
      </c>
      <c r="F10" s="43" t="n">
        <f aca="false">'4.매입대금'!$B$4*(1+$A10)-('3.사업비'!$B$15+'3.사업비'!$B$7*F$3)</f>
        <v>1501248384.2</v>
      </c>
      <c r="G10" s="43" t="n">
        <f aca="false">'4.매입대금'!$B$4*(1+$A10)-('3.사업비'!$B$15+'3.사업비'!$B$7*G$3)</f>
        <v>1382448384.2</v>
      </c>
      <c r="H10" s="43" t="n">
        <f aca="false">'4.매입대금'!$B$4*(1+$A10)-('3.사업비'!$B$15+'3.사업비'!$B$7*H$3)</f>
        <v>1263648384.2</v>
      </c>
    </row>
    <row r="12" customFormat="false" ht="15" hidden="false" customHeight="false" outlineLevel="0" collapsed="false">
      <c r="A12" s="49" t="s">
        <v>234</v>
      </c>
    </row>
    <row r="13" customFormat="false" ht="15" hidden="false" customHeight="true" outlineLevel="0" collapsed="false">
      <c r="A13" s="55" t="s">
        <v>235</v>
      </c>
      <c r="B13" s="55"/>
      <c r="C13" s="55"/>
      <c r="D13" s="55"/>
      <c r="E13" s="55"/>
      <c r="F13" s="55"/>
      <c r="G13" s="55"/>
      <c r="H13" s="55"/>
    </row>
    <row r="14" customFormat="false" ht="15" hidden="false" customHeight="false" outlineLevel="0" collapsed="false">
      <c r="A14" s="55"/>
      <c r="B14" s="55"/>
      <c r="C14" s="55"/>
      <c r="D14" s="55"/>
      <c r="E14" s="55"/>
      <c r="F14" s="55"/>
      <c r="G14" s="55"/>
      <c r="H14" s="55"/>
    </row>
  </sheetData>
  <mergeCells count="1">
    <mergeCell ref="A13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40"/>
  </cols>
  <sheetData>
    <row r="1" customFormat="false" ht="21.6" hidden="false" customHeight="false" outlineLevel="0" collapsed="false">
      <c r="A1" s="29" t="s">
        <v>236</v>
      </c>
    </row>
    <row r="2" customFormat="false" ht="15" hidden="false" customHeight="false" outlineLevel="0" collapsed="false">
      <c r="A2" s="18" t="s">
        <v>237</v>
      </c>
    </row>
    <row r="3" customFormat="false" ht="15" hidden="false" customHeight="false" outlineLevel="0" collapsed="false">
      <c r="A3" s="30" t="s">
        <v>73</v>
      </c>
      <c r="B3" s="30" t="s">
        <v>44</v>
      </c>
      <c r="C3" s="30" t="s">
        <v>45</v>
      </c>
      <c r="D3" s="30" t="s">
        <v>46</v>
      </c>
      <c r="E3" s="30" t="s">
        <v>238</v>
      </c>
    </row>
    <row r="4" customFormat="false" ht="15" hidden="false" customHeight="false" outlineLevel="0" collapsed="false">
      <c r="A4" s="9" t="s">
        <v>239</v>
      </c>
      <c r="B4" s="34" t="n">
        <v>-0.1</v>
      </c>
      <c r="C4" s="34" t="n">
        <v>0</v>
      </c>
      <c r="D4" s="34" t="n">
        <v>0.265</v>
      </c>
      <c r="E4" s="32" t="s">
        <v>240</v>
      </c>
    </row>
    <row r="5" customFormat="false" ht="15" hidden="false" customHeight="false" outlineLevel="0" collapsed="false">
      <c r="A5" s="8" t="s">
        <v>241</v>
      </c>
      <c r="B5" s="34" t="n">
        <v>0.1</v>
      </c>
      <c r="C5" s="34" t="n">
        <v>0</v>
      </c>
      <c r="D5" s="34" t="n">
        <v>0</v>
      </c>
      <c r="E5" s="32" t="s">
        <v>242</v>
      </c>
    </row>
    <row r="6" customFormat="false" ht="15" hidden="false" customHeight="false" outlineLevel="0" collapsed="false">
      <c r="A6" s="8" t="s">
        <v>243</v>
      </c>
      <c r="B6" s="50" t="n">
        <v>6</v>
      </c>
      <c r="C6" s="50" t="n">
        <v>0</v>
      </c>
      <c r="D6" s="50" t="n">
        <v>0</v>
      </c>
      <c r="E6" s="32" t="s">
        <v>244</v>
      </c>
    </row>
    <row r="7" customFormat="false" ht="15" hidden="false" customHeight="false" outlineLevel="0" collapsed="false">
      <c r="A7" s="8" t="s">
        <v>43</v>
      </c>
      <c r="B7" s="43" t="n">
        <f aca="false">'4.매입대금'!$B$4*(1+B4)</f>
        <v>4276800000</v>
      </c>
      <c r="C7" s="43" t="n">
        <f aca="false">'4.매입대금'!$B$4*(1+C4)</f>
        <v>4752000000</v>
      </c>
      <c r="D7" s="43" t="n">
        <f aca="false">'4.매입대금'!$B$4*(1+D4)</f>
        <v>6011280000</v>
      </c>
      <c r="E7" s="32"/>
    </row>
    <row r="8" customFormat="false" ht="15" hidden="false" customHeight="false" outlineLevel="0" collapsed="false">
      <c r="A8" s="8" t="s">
        <v>34</v>
      </c>
      <c r="B8" s="43" t="n">
        <f aca="false">'3.사업비'!$B$15+'3.사업비'!$B$7*B5+'3.사업비'!$B$4*(1-'1.가정'!$B$21)*'1.가정'!$B$20/12*B6</f>
        <v>4535056615.8</v>
      </c>
      <c r="C8" s="43" t="n">
        <f aca="false">'3.사업비'!$B$15+'3.사업비'!$B$7*C5+'3.사업비'!$B$4*(1-'1.가정'!$B$21)*'1.가정'!$B$20/12*C6</f>
        <v>4272431615.8</v>
      </c>
      <c r="D8" s="43" t="n">
        <f aca="false">'3.사업비'!$B$15+'3.사업비'!$B$7*D5+'3.사업비'!$B$4*(1-'1.가정'!$B$21)*'1.가정'!$B$20/12*D6</f>
        <v>4272431615.8</v>
      </c>
      <c r="E8" s="32" t="s">
        <v>245</v>
      </c>
    </row>
    <row r="9" customFormat="false" ht="15" hidden="false" customHeight="false" outlineLevel="0" collapsed="false">
      <c r="A9" s="33" t="s">
        <v>40</v>
      </c>
      <c r="B9" s="44" t="n">
        <f aca="false">B7-B8</f>
        <v>-258256615.8</v>
      </c>
      <c r="C9" s="44" t="n">
        <f aca="false">C7-C8</f>
        <v>479568384.2</v>
      </c>
      <c r="D9" s="44" t="n">
        <f aca="false">D7-D8</f>
        <v>1738848384.2</v>
      </c>
      <c r="E9" s="32"/>
    </row>
    <row r="10" customFormat="false" ht="15" hidden="false" customHeight="false" outlineLevel="0" collapsed="false">
      <c r="A10" s="33" t="s">
        <v>246</v>
      </c>
      <c r="B10" s="42" t="n">
        <f aca="false">IF(B8&gt;0,B9/B8,0)</f>
        <v>-0.0569467236418266</v>
      </c>
      <c r="C10" s="42" t="n">
        <f aca="false">IF(C8&gt;0,C9/C8,0)</f>
        <v>0.112247176157599</v>
      </c>
      <c r="D10" s="42" t="n">
        <f aca="false">IF(D8&gt;0,D9/D8,0)</f>
        <v>0.406992677839364</v>
      </c>
      <c r="E10" s="32"/>
    </row>
    <row r="11" customFormat="false" ht="15" hidden="false" customHeight="false" outlineLevel="0" collapsed="false">
      <c r="A11" s="8" t="s">
        <v>247</v>
      </c>
      <c r="B11" s="43" t="n">
        <f aca="false">IF('2.세대프로그램'!$B$10&gt;0,B9/'2.세대프로그램'!$B$10,0)</f>
        <v>-12912830.79</v>
      </c>
      <c r="C11" s="43" t="n">
        <f aca="false">IF('2.세대프로그램'!$B$10&gt;0,C9/'2.세대프로그램'!$B$10,0)</f>
        <v>23978419.21</v>
      </c>
      <c r="D11" s="43" t="n">
        <f aca="false">IF('2.세대프로그램'!$B$10&gt;0,D9/'2.세대프로그램'!$B$10,0)</f>
        <v>86942419.21</v>
      </c>
      <c r="E11" s="3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2026-09-17T08:41:33Z</dcterms:created>
  <dc:creator>openpyxl</dc:creator>
  <dc:description/>
  <dc:language>en-US</dc:language>
  <cp:lastModifiedBy/>
  <dcterms:modified xsi:type="dcterms:W3CDTF">2026-09-17T08:41:35Z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